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tjoue\OneDrive\Bureau\Tool Box\"/>
    </mc:Choice>
  </mc:AlternateContent>
  <xr:revisionPtr revIDLastSave="0" documentId="13_ncr:1_{CA3FC041-38F9-445E-B0FF-E023F5FC7B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C Performance Metric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4" l="1"/>
  <c r="H2" i="4"/>
  <c r="I2" i="4"/>
  <c r="J2" i="4"/>
  <c r="K2" i="4"/>
  <c r="L2" i="4"/>
  <c r="M2" i="4"/>
  <c r="N2" i="4"/>
  <c r="O2" i="4"/>
  <c r="P2" i="4"/>
  <c r="Q2" i="4"/>
  <c r="R2" i="4"/>
  <c r="F3" i="4"/>
  <c r="F4" i="4"/>
  <c r="F5" i="4"/>
  <c r="G8" i="4"/>
  <c r="H8" i="4"/>
  <c r="I8" i="4"/>
  <c r="J8" i="4"/>
  <c r="K8" i="4"/>
  <c r="L8" i="4"/>
  <c r="M8" i="4"/>
  <c r="N8" i="4"/>
  <c r="O8" i="4"/>
  <c r="P8" i="4"/>
  <c r="Q8" i="4"/>
  <c r="R8" i="4"/>
  <c r="F9" i="4"/>
  <c r="F10" i="4"/>
  <c r="F11" i="4"/>
  <c r="G13" i="4"/>
  <c r="H13" i="4"/>
  <c r="I13" i="4"/>
  <c r="J13" i="4"/>
  <c r="K13" i="4"/>
  <c r="L13" i="4"/>
  <c r="M13" i="4"/>
  <c r="N13" i="4"/>
  <c r="O13" i="4"/>
  <c r="P13" i="4"/>
  <c r="Q13" i="4"/>
  <c r="R13" i="4"/>
  <c r="F14" i="4"/>
  <c r="F15" i="4"/>
  <c r="F13" i="4" s="1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F17" i="4"/>
  <c r="F18" i="4"/>
  <c r="F19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F22" i="4"/>
  <c r="F23" i="4"/>
  <c r="G24" i="4"/>
  <c r="G36" i="4" s="1"/>
  <c r="H24" i="4"/>
  <c r="I24" i="4"/>
  <c r="I28" i="4" s="1"/>
  <c r="J24" i="4"/>
  <c r="J28" i="4" s="1"/>
  <c r="K24" i="4"/>
  <c r="K28" i="4" s="1"/>
  <c r="L24" i="4"/>
  <c r="L28" i="4" s="1"/>
  <c r="M24" i="4"/>
  <c r="M36" i="4" s="1"/>
  <c r="N24" i="4"/>
  <c r="N28" i="4" s="1"/>
  <c r="O24" i="4"/>
  <c r="O28" i="4" s="1"/>
  <c r="P24" i="4"/>
  <c r="P36" i="4" s="1"/>
  <c r="P34" i="4" s="1"/>
  <c r="Q24" i="4"/>
  <c r="Q36" i="4" s="1"/>
  <c r="Q34" i="4" s="1"/>
  <c r="R24" i="4"/>
  <c r="R36" i="4" s="1"/>
  <c r="R34" i="4" s="1"/>
  <c r="R35" i="4" s="1"/>
  <c r="H28" i="4"/>
  <c r="R29" i="4"/>
  <c r="F29" i="4" s="1"/>
  <c r="E32" i="4"/>
  <c r="G33" i="4"/>
  <c r="H33" i="4"/>
  <c r="I33" i="4"/>
  <c r="J33" i="4"/>
  <c r="K33" i="4"/>
  <c r="L33" i="4"/>
  <c r="M33" i="4"/>
  <c r="N33" i="4"/>
  <c r="O33" i="4"/>
  <c r="P33" i="4"/>
  <c r="Q33" i="4"/>
  <c r="H36" i="4"/>
  <c r="H34" i="4" s="1"/>
  <c r="I36" i="4"/>
  <c r="I34" i="4" s="1"/>
  <c r="J36" i="4"/>
  <c r="J34" i="4" s="1"/>
  <c r="G37" i="4"/>
  <c r="H37" i="4"/>
  <c r="I37" i="4"/>
  <c r="J37" i="4"/>
  <c r="K37" i="4"/>
  <c r="L37" i="4"/>
  <c r="M37" i="4"/>
  <c r="N37" i="4"/>
  <c r="O37" i="4"/>
  <c r="P37" i="4"/>
  <c r="Q37" i="4"/>
  <c r="R37" i="4"/>
  <c r="G38" i="4"/>
  <c r="H38" i="4"/>
  <c r="I38" i="4"/>
  <c r="J38" i="4"/>
  <c r="K38" i="4"/>
  <c r="L38" i="4"/>
  <c r="M38" i="4"/>
  <c r="N38" i="4"/>
  <c r="O38" i="4"/>
  <c r="P38" i="4"/>
  <c r="Q38" i="4"/>
  <c r="R38" i="4"/>
  <c r="F41" i="4"/>
  <c r="F42" i="4"/>
  <c r="F43" i="4"/>
  <c r="F44" i="4"/>
  <c r="F33" i="4" s="1"/>
  <c r="G45" i="4"/>
  <c r="F45" i="4" s="1"/>
  <c r="H45" i="4"/>
  <c r="I45" i="4"/>
  <c r="J45" i="4"/>
  <c r="K45" i="4"/>
  <c r="L45" i="4"/>
  <c r="M45" i="4"/>
  <c r="N45" i="4"/>
  <c r="O45" i="4"/>
  <c r="F68" i="4"/>
  <c r="F69" i="4"/>
  <c r="R67" i="4"/>
  <c r="Q67" i="4"/>
  <c r="P67" i="4"/>
  <c r="O67" i="4"/>
  <c r="N67" i="4"/>
  <c r="M67" i="4"/>
  <c r="L67" i="4"/>
  <c r="K67" i="4"/>
  <c r="J67" i="4"/>
  <c r="I67" i="4"/>
  <c r="H67" i="4"/>
  <c r="G67" i="4"/>
  <c r="F37" i="4" l="1"/>
  <c r="Q28" i="4"/>
  <c r="R33" i="4"/>
  <c r="P28" i="4"/>
  <c r="F8" i="4"/>
  <c r="M34" i="4"/>
  <c r="R28" i="4"/>
  <c r="F2" i="4"/>
  <c r="H35" i="4"/>
  <c r="G34" i="4"/>
  <c r="Q35" i="4"/>
  <c r="M35" i="4"/>
  <c r="I35" i="4"/>
  <c r="P35" i="4"/>
  <c r="F24" i="4"/>
  <c r="F28" i="4" s="1"/>
  <c r="O36" i="4"/>
  <c r="O34" i="4" s="1"/>
  <c r="N36" i="4"/>
  <c r="N34" i="4" s="1"/>
  <c r="G28" i="4"/>
  <c r="J35" i="4"/>
  <c r="L36" i="4"/>
  <c r="L34" i="4" s="1"/>
  <c r="M28" i="4"/>
  <c r="K36" i="4"/>
  <c r="K34" i="4" s="1"/>
  <c r="F67" i="4"/>
  <c r="N31" i="4" l="1"/>
  <c r="N32" i="4" s="1"/>
  <c r="N35" i="4"/>
  <c r="O35" i="4"/>
  <c r="K31" i="4"/>
  <c r="K32" i="4" s="1"/>
  <c r="K35" i="4"/>
  <c r="G35" i="4"/>
  <c r="L31" i="4"/>
  <c r="L32" i="4" s="1"/>
  <c r="L35" i="4"/>
  <c r="F36" i="4"/>
  <c r="F34" i="4" s="1"/>
  <c r="R48" i="4"/>
  <c r="R31" i="4" s="1"/>
  <c r="R32" i="4" s="1"/>
  <c r="Q48" i="4"/>
  <c r="Q31" i="4" s="1"/>
  <c r="Q32" i="4" s="1"/>
  <c r="P48" i="4"/>
  <c r="P31" i="4" s="1"/>
  <c r="P32" i="4" s="1"/>
  <c r="O48" i="4"/>
  <c r="O31" i="4" s="1"/>
  <c r="O32" i="4" s="1"/>
  <c r="N48" i="4"/>
  <c r="M48" i="4"/>
  <c r="M31" i="4" s="1"/>
  <c r="M32" i="4" s="1"/>
  <c r="L48" i="4"/>
  <c r="K48" i="4"/>
  <c r="J48" i="4"/>
  <c r="J31" i="4" s="1"/>
  <c r="J32" i="4" s="1"/>
  <c r="I48" i="4"/>
  <c r="I31" i="4" s="1"/>
  <c r="I32" i="4" s="1"/>
  <c r="H48" i="4"/>
  <c r="H31" i="4" s="1"/>
  <c r="H32" i="4" s="1"/>
  <c r="G48" i="4"/>
  <c r="G31" i="4" s="1"/>
  <c r="G32" i="4" s="1"/>
  <c r="F52" i="4"/>
  <c r="F51" i="4"/>
  <c r="F35" i="4" l="1"/>
  <c r="F54" i="4"/>
  <c r="F55" i="4"/>
  <c r="F50" i="4"/>
  <c r="F53" i="4"/>
  <c r="F48" i="4" l="1"/>
  <c r="F31" i="4" s="1"/>
  <c r="F32" i="4" s="1"/>
  <c r="G49" i="4" l="1"/>
  <c r="R49" i="4"/>
  <c r="Q49" i="4"/>
  <c r="P49" i="4"/>
  <c r="O49" i="4"/>
  <c r="N49" i="4"/>
  <c r="M49" i="4"/>
  <c r="L49" i="4"/>
  <c r="K49" i="4"/>
  <c r="J49" i="4"/>
  <c r="I49" i="4"/>
  <c r="H49" i="4"/>
  <c r="F49" i="4" l="1"/>
</calcChain>
</file>

<file path=xl/sharedStrings.xml><?xml version="1.0" encoding="utf-8"?>
<sst xmlns="http://schemas.openxmlformats.org/spreadsheetml/2006/main" count="88" uniqueCount="85">
  <si>
    <t>Level</t>
  </si>
  <si>
    <t>Description</t>
  </si>
  <si>
    <t>Calculation mode</t>
  </si>
  <si>
    <t>Inventory Total</t>
  </si>
  <si>
    <t>CO2 emission Total</t>
  </si>
  <si>
    <t>Logistics costs (Premium Freight)</t>
  </si>
  <si>
    <t>Distribution On Time, In Full (shipping)</t>
  </si>
  <si>
    <t>Distribution On Time, In Full (receiving)</t>
  </si>
  <si>
    <t>Supplier Backlog</t>
  </si>
  <si>
    <t>Customer Backlog</t>
  </si>
  <si>
    <t>Inventory (Raw materials &amp; Component)</t>
  </si>
  <si>
    <t>Inventory (Work In Progress)</t>
  </si>
  <si>
    <t>Inventory (Finished goods)</t>
  </si>
  <si>
    <t>Production schedule fluctuation</t>
  </si>
  <si>
    <t>Production schedule realization</t>
  </si>
  <si>
    <t>Realized Turnover In € (excl. hors contrat)</t>
  </si>
  <si>
    <t>[Nb not OTIF]</t>
  </si>
  <si>
    <t>[(Nb not OTIF + Nb incidents) / Nb total customer orders (in %)]</t>
  </si>
  <si>
    <t>[(Nb not OTIF + Nb incidents) / Nb total supplier orders (in %)]</t>
  </si>
  <si>
    <t>[Nb not OTIF shipped / Nb total distibution orders (in %)]</t>
  </si>
  <si>
    <t>[Nb not OTIF received / Nb total distibution orders (in %)]</t>
  </si>
  <si>
    <t>[Nb of customer orders]</t>
  </si>
  <si>
    <t>for the next coming 15 weeks</t>
  </si>
  <si>
    <t>Customer orders Total</t>
  </si>
  <si>
    <t>Target</t>
  </si>
  <si>
    <t>Customer Not On Time, In Full</t>
  </si>
  <si>
    <t>Supplier Not On Time, In Full</t>
  </si>
  <si>
    <t>Supplier orders Total</t>
  </si>
  <si>
    <t>Negative Stock</t>
  </si>
  <si>
    <t>Warehousing people</t>
  </si>
  <si>
    <t>Administrative people</t>
  </si>
  <si>
    <t>Supply Chain Non Quality Costs</t>
  </si>
  <si>
    <t>Inventory Correction</t>
  </si>
  <si>
    <t>Inventory reliability</t>
  </si>
  <si>
    <t>Cumul</t>
  </si>
  <si>
    <t>Distribution Orders Not On Time, In Full</t>
  </si>
  <si>
    <t>Logistics costs (Standard Transportation)</t>
  </si>
  <si>
    <t>Supply Chain Costs €</t>
  </si>
  <si>
    <t>Logistics costs (Employees &amp; Temporaries)</t>
  </si>
  <si>
    <t>Logistics Costs €</t>
  </si>
  <si>
    <t>Logistics Costs %</t>
  </si>
  <si>
    <t>Logistics costs (Inventory Carrying)</t>
  </si>
  <si>
    <t>Internal Warehousing Capacity</t>
  </si>
  <si>
    <t>Internal Warehousing Load</t>
  </si>
  <si>
    <t>Logistics costs (Customs, Taxes &amp; Fees)</t>
  </si>
  <si>
    <t>Customer Perfect Orders</t>
  </si>
  <si>
    <t>Supplier Perfect Orders</t>
  </si>
  <si>
    <t>Distribution Orders Total (receiving)</t>
  </si>
  <si>
    <t>Distribution Orders Total (shipping)</t>
  </si>
  <si>
    <t>Customer Logistic Incidents</t>
  </si>
  <si>
    <t>Supplier Logistic Incidents</t>
  </si>
  <si>
    <t>Purchasing Costs €</t>
  </si>
  <si>
    <t>Purchasing Costs %</t>
  </si>
  <si>
    <t>Turnover Total €</t>
  </si>
  <si>
    <t>Turnover Internal € (G + GU)</t>
  </si>
  <si>
    <t>Turnover External € (HG)</t>
  </si>
  <si>
    <t>Forecast accuracy (Firm vs Sold) (HG)</t>
  </si>
  <si>
    <t>Forecast accuracy (Firm vs Commercial) (HG)</t>
  </si>
  <si>
    <t>Catégorie Avoir Logistique + Emballage</t>
  </si>
  <si>
    <t>[Nb incidents] Logistic, EDI, Premium Freight, Credit note</t>
  </si>
  <si>
    <t>All physical flow &amp; storage employees + temporaries. Including supervisors</t>
  </si>
  <si>
    <t>KPI 3 - P/N Do Not Supply with stock break</t>
  </si>
  <si>
    <t>KPI 1 - Stock break</t>
  </si>
  <si>
    <t>KPI 2 - Part not set up</t>
  </si>
  <si>
    <t>KPI 4 - Production without Gamme</t>
  </si>
  <si>
    <t>KPI 5 - Production without child parts</t>
  </si>
  <si>
    <t>KPI 8 - Gap Customer order vs Sales Forecasts</t>
  </si>
  <si>
    <t>KPI 6 - Parts to finished without Gamme</t>
  </si>
  <si>
    <t>[Nb of suppliers orders]</t>
  </si>
  <si>
    <t>KPI 7 - Stock &lt;0</t>
  </si>
  <si>
    <t>Logistic Credit Notes €</t>
  </si>
  <si>
    <t>Purchasing costs R60100 (Raw Materials)</t>
  </si>
  <si>
    <t>Purchasing costs R60200 (Expendable)</t>
  </si>
  <si>
    <t>Purchasing costs R60230 (Oils)</t>
  </si>
  <si>
    <t>Purchasing costs R60260 (Packaging)</t>
  </si>
  <si>
    <t>Purchasing costs R60410 (Sub-contracting)</t>
  </si>
  <si>
    <t>Purchasing costs R60500 (Components)</t>
  </si>
  <si>
    <t>Internal Warehousing Loading Rate</t>
  </si>
  <si>
    <t>Plant Loading Rate</t>
  </si>
  <si>
    <t>Supply Chain Costs %</t>
  </si>
  <si>
    <t>Logistics costs (External Warehousing)</t>
  </si>
  <si>
    <t>Logistics costs (Internal Warehousing)</t>
  </si>
  <si>
    <t>Production Working Hours</t>
  </si>
  <si>
    <t>Production Schedule Hours</t>
  </si>
  <si>
    <t>Source KPI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</si>
</sst>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.00,,&quot; M€&quot;"/>
    <numFmt numFmtId="166" formatCode="_-* #,##0.00\ _€_-;\-* #,##0.00\ _€_-;_-* &quot;-&quot;??\ _€_-;_-@_-"/>
    <numFmt numFmtId="167" formatCode="#,##0.0,&quot; K€&quot;"/>
    <numFmt numFmtId="168" formatCode="#,##0.0,,&quot; M€&quot;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Montserrat Light"/>
      <family val="3"/>
    </font>
    <font>
      <sz val="11"/>
      <color theme="1"/>
      <name val="Calibri"/>
      <family val="2"/>
      <scheme val="minor"/>
    </font>
    <font>
      <sz val="9"/>
      <color theme="0"/>
      <name val="Montserrat Light"/>
      <family val="3"/>
    </font>
    <font>
      <sz val="8"/>
      <color theme="0"/>
      <name val="Montserrat Light"/>
      <family val="3"/>
    </font>
    <font>
      <b/>
      <sz val="9"/>
      <color theme="1"/>
      <name val="Montserrat Light"/>
      <family val="3"/>
    </font>
    <font>
      <b/>
      <sz val="9"/>
      <color theme="0"/>
      <name val="Montserrat Light"/>
      <family val="3"/>
    </font>
    <font>
      <sz val="10"/>
      <name val="Arial"/>
      <family val="2"/>
    </font>
    <font>
      <sz val="8"/>
      <color theme="1"/>
      <name val="Montserrat Light"/>
      <family val="3"/>
    </font>
    <font>
      <sz val="8"/>
      <color rgb="FF00B0F0"/>
      <name val="Montserrat Light"/>
      <family val="3"/>
    </font>
    <font>
      <sz val="10"/>
      <color theme="0"/>
      <name val="Montserrat Medium"/>
    </font>
    <font>
      <sz val="9"/>
      <color theme="0"/>
      <name val="Montserrat Medium"/>
    </font>
    <font>
      <b/>
      <sz val="9"/>
      <color theme="0"/>
      <name val="Montserrat Medium"/>
    </font>
    <font>
      <u/>
      <sz val="11"/>
      <color theme="10"/>
      <name val="Calibri"/>
      <family val="2"/>
      <scheme val="minor"/>
    </font>
    <font>
      <u/>
      <sz val="8"/>
      <color theme="10"/>
      <name val="Montserrat Light"/>
      <family val="3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Montserrat Light"/>
      <family val="3"/>
    </font>
  </fonts>
  <fills count="8">
    <fill>
      <patternFill patternType="none"/>
    </fill>
    <fill>
      <patternFill patternType="gray125"/>
    </fill>
    <fill>
      <patternFill patternType="solid">
        <fgColor rgb="FF0037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7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3" fillId="2" borderId="19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2" fillId="0" borderId="7" xfId="0" quotePrefix="1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5" fillId="0" borderId="40" xfId="6" applyFont="1" applyBorder="1" applyAlignment="1">
      <alignment vertical="center"/>
    </xf>
    <xf numFmtId="0" fontId="15" fillId="0" borderId="41" xfId="6" applyFont="1" applyBorder="1" applyAlignment="1">
      <alignment vertical="center"/>
    </xf>
    <xf numFmtId="0" fontId="15" fillId="0" borderId="42" xfId="6" applyFont="1" applyBorder="1" applyAlignment="1">
      <alignment vertical="center"/>
    </xf>
    <xf numFmtId="165" fontId="16" fillId="3" borderId="15" xfId="0" applyNumberFormat="1" applyFont="1" applyFill="1" applyBorder="1" applyAlignment="1">
      <alignment vertical="center"/>
    </xf>
    <xf numFmtId="168" fontId="16" fillId="3" borderId="6" xfId="0" applyNumberFormat="1" applyFont="1" applyFill="1" applyBorder="1" applyAlignment="1">
      <alignment vertical="center"/>
    </xf>
    <xf numFmtId="168" fontId="16" fillId="3" borderId="7" xfId="0" applyNumberFormat="1" applyFont="1" applyFill="1" applyBorder="1" applyAlignment="1">
      <alignment vertical="center"/>
    </xf>
    <xf numFmtId="165" fontId="17" fillId="3" borderId="16" xfId="0" applyNumberFormat="1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vertical="center"/>
    </xf>
    <xf numFmtId="168" fontId="17" fillId="0" borderId="1" xfId="0" applyNumberFormat="1" applyFont="1" applyBorder="1" applyAlignment="1">
      <alignment vertical="center"/>
    </xf>
    <xf numFmtId="168" fontId="17" fillId="0" borderId="9" xfId="0" applyNumberFormat="1" applyFont="1" applyBorder="1" applyAlignment="1">
      <alignment vertical="center"/>
    </xf>
    <xf numFmtId="167" fontId="16" fillId="3" borderId="9" xfId="0" applyNumberFormat="1" applyFont="1" applyFill="1" applyBorder="1" applyAlignment="1">
      <alignment vertical="center"/>
    </xf>
    <xf numFmtId="167" fontId="17" fillId="0" borderId="16" xfId="0" applyNumberFormat="1" applyFont="1" applyBorder="1" applyAlignment="1">
      <alignment vertical="center"/>
    </xf>
    <xf numFmtId="167" fontId="17" fillId="0" borderId="1" xfId="0" applyNumberFormat="1" applyFont="1" applyBorder="1" applyAlignment="1">
      <alignment vertical="center"/>
    </xf>
    <xf numFmtId="167" fontId="17" fillId="0" borderId="9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164" fontId="16" fillId="3" borderId="20" xfId="1" applyNumberFormat="1" applyFont="1" applyFill="1" applyBorder="1" applyAlignment="1">
      <alignment vertical="center"/>
    </xf>
    <xf numFmtId="164" fontId="16" fillId="3" borderId="18" xfId="1" applyNumberFormat="1" applyFont="1" applyFill="1" applyBorder="1" applyAlignment="1">
      <alignment vertical="center"/>
    </xf>
    <xf numFmtId="164" fontId="16" fillId="3" borderId="3" xfId="1" applyNumberFormat="1" applyFont="1" applyFill="1" applyBorder="1" applyAlignment="1">
      <alignment vertical="center"/>
    </xf>
    <xf numFmtId="3" fontId="16" fillId="3" borderId="9" xfId="0" applyNumberFormat="1" applyFont="1" applyFill="1" applyBorder="1" applyAlignment="1">
      <alignment vertical="center"/>
    </xf>
    <xf numFmtId="3" fontId="17" fillId="0" borderId="16" xfId="0" applyNumberFormat="1" applyFont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3" fontId="17" fillId="0" borderId="9" xfId="0" applyNumberFormat="1" applyFont="1" applyBorder="1" applyAlignment="1">
      <alignment vertical="center"/>
    </xf>
    <xf numFmtId="3" fontId="17" fillId="3" borderId="23" xfId="0" applyNumberFormat="1" applyFont="1" applyFill="1" applyBorder="1" applyAlignment="1">
      <alignment vertical="center"/>
    </xf>
    <xf numFmtId="3" fontId="17" fillId="3" borderId="24" xfId="0" applyNumberFormat="1" applyFont="1" applyFill="1" applyBorder="1" applyAlignment="1">
      <alignment vertical="center"/>
    </xf>
    <xf numFmtId="3" fontId="16" fillId="3" borderId="21" xfId="0" applyNumberFormat="1" applyFont="1" applyFill="1" applyBorder="1" applyAlignment="1">
      <alignment vertical="center"/>
    </xf>
    <xf numFmtId="3" fontId="17" fillId="0" borderId="14" xfId="0" applyNumberFormat="1" applyFont="1" applyBorder="1" applyAlignment="1">
      <alignment vertical="center"/>
    </xf>
    <xf numFmtId="3" fontId="17" fillId="0" borderId="2" xfId="0" applyNumberFormat="1" applyFont="1" applyBorder="1" applyAlignment="1">
      <alignment vertical="center"/>
    </xf>
    <xf numFmtId="3" fontId="17" fillId="0" borderId="21" xfId="0" applyNumberFormat="1" applyFont="1" applyBorder="1" applyAlignment="1">
      <alignment vertical="center"/>
    </xf>
    <xf numFmtId="164" fontId="16" fillId="3" borderId="4" xfId="1" applyNumberFormat="1" applyFont="1" applyFill="1" applyBorder="1" applyAlignment="1">
      <alignment vertical="center"/>
    </xf>
    <xf numFmtId="164" fontId="16" fillId="3" borderId="7" xfId="1" applyNumberFormat="1" applyFont="1" applyFill="1" applyBorder="1" applyAlignment="1">
      <alignment vertical="center"/>
    </xf>
    <xf numFmtId="164" fontId="16" fillId="3" borderId="15" xfId="1" applyNumberFormat="1" applyFont="1" applyFill="1" applyBorder="1" applyAlignment="1">
      <alignment vertical="center"/>
    </xf>
    <xf numFmtId="164" fontId="16" fillId="3" borderId="6" xfId="1" applyNumberFormat="1" applyFont="1" applyFill="1" applyBorder="1" applyAlignment="1">
      <alignment vertical="center"/>
    </xf>
    <xf numFmtId="3" fontId="16" fillId="3" borderId="12" xfId="0" applyNumberFormat="1" applyFont="1" applyFill="1" applyBorder="1" applyAlignment="1">
      <alignment vertical="center"/>
    </xf>
    <xf numFmtId="3" fontId="17" fillId="0" borderId="17" xfId="0" applyNumberFormat="1" applyFont="1" applyBorder="1" applyAlignment="1">
      <alignment vertical="center"/>
    </xf>
    <xf numFmtId="3" fontId="17" fillId="0" borderId="11" xfId="0" applyNumberFormat="1" applyFont="1" applyBorder="1" applyAlignment="1">
      <alignment vertical="center"/>
    </xf>
    <xf numFmtId="3" fontId="17" fillId="0" borderId="12" xfId="0" applyNumberFormat="1" applyFont="1" applyBorder="1" applyAlignment="1">
      <alignment vertical="center"/>
    </xf>
    <xf numFmtId="164" fontId="17" fillId="3" borderId="8" xfId="1" applyNumberFormat="1" applyFont="1" applyFill="1" applyBorder="1" applyAlignment="1">
      <alignment vertical="center"/>
    </xf>
    <xf numFmtId="164" fontId="17" fillId="3" borderId="10" xfId="1" applyNumberFormat="1" applyFont="1" applyFill="1" applyBorder="1" applyAlignment="1">
      <alignment vertical="center"/>
    </xf>
    <xf numFmtId="165" fontId="16" fillId="3" borderId="22" xfId="0" applyNumberFormat="1" applyFont="1" applyFill="1" applyBorder="1" applyAlignment="1">
      <alignment vertical="center"/>
    </xf>
    <xf numFmtId="168" fontId="17" fillId="3" borderId="18" xfId="0" applyNumberFormat="1" applyFont="1" applyFill="1" applyBorder="1" applyAlignment="1">
      <alignment vertical="center"/>
    </xf>
    <xf numFmtId="168" fontId="17" fillId="3" borderId="3" xfId="0" applyNumberFormat="1" applyFont="1" applyFill="1" applyBorder="1" applyAlignment="1">
      <alignment vertical="center"/>
    </xf>
    <xf numFmtId="165" fontId="17" fillId="3" borderId="23" xfId="0" applyNumberFormat="1" applyFont="1" applyFill="1" applyBorder="1" applyAlignment="1">
      <alignment vertical="center"/>
    </xf>
    <xf numFmtId="168" fontId="16" fillId="3" borderId="9" xfId="0" applyNumberFormat="1" applyFont="1" applyFill="1" applyBorder="1" applyAlignment="1">
      <alignment vertical="center"/>
    </xf>
    <xf numFmtId="168" fontId="17" fillId="0" borderId="16" xfId="0" applyNumberFormat="1" applyFont="1" applyBorder="1" applyAlignment="1">
      <alignment vertical="center"/>
    </xf>
    <xf numFmtId="168" fontId="16" fillId="3" borderId="21" xfId="0" applyNumberFormat="1" applyFont="1" applyFill="1" applyBorder="1" applyAlignment="1">
      <alignment vertical="center"/>
    </xf>
    <xf numFmtId="168" fontId="17" fillId="0" borderId="14" xfId="0" applyNumberFormat="1" applyFont="1" applyBorder="1" applyAlignment="1">
      <alignment vertical="center"/>
    </xf>
    <xf numFmtId="168" fontId="17" fillId="0" borderId="2" xfId="0" applyNumberFormat="1" applyFont="1" applyBorder="1" applyAlignment="1">
      <alignment vertical="center"/>
    </xf>
    <xf numFmtId="164" fontId="16" fillId="3" borderId="24" xfId="1" applyNumberFormat="1" applyFont="1" applyFill="1" applyBorder="1" applyAlignment="1">
      <alignment vertical="center"/>
    </xf>
    <xf numFmtId="164" fontId="16" fillId="3" borderId="9" xfId="1" applyNumberFormat="1" applyFont="1" applyFill="1" applyBorder="1" applyAlignment="1">
      <alignment vertical="center"/>
    </xf>
    <xf numFmtId="164" fontId="16" fillId="3" borderId="16" xfId="1" applyNumberFormat="1" applyFont="1" applyFill="1" applyBorder="1" applyAlignment="1">
      <alignment vertical="center"/>
    </xf>
    <xf numFmtId="164" fontId="16" fillId="3" borderId="1" xfId="1" applyNumberFormat="1" applyFont="1" applyFill="1" applyBorder="1" applyAlignment="1">
      <alignment vertical="center"/>
    </xf>
    <xf numFmtId="0" fontId="17" fillId="3" borderId="27" xfId="0" applyFont="1" applyFill="1" applyBorder="1" applyAlignment="1">
      <alignment vertical="center"/>
    </xf>
    <xf numFmtId="0" fontId="16" fillId="3" borderId="21" xfId="0" applyFont="1" applyFill="1" applyBorder="1" applyAlignment="1">
      <alignment vertical="center"/>
    </xf>
    <xf numFmtId="167" fontId="17" fillId="0" borderId="14" xfId="0" applyNumberFormat="1" applyFont="1" applyBorder="1" applyAlignment="1">
      <alignment vertical="center"/>
    </xf>
    <xf numFmtId="167" fontId="17" fillId="0" borderId="2" xfId="0" applyNumberFormat="1" applyFont="1" applyBorder="1" applyAlignment="1">
      <alignment vertical="center"/>
    </xf>
    <xf numFmtId="167" fontId="16" fillId="3" borderId="4" xfId="0" applyNumberFormat="1" applyFont="1" applyFill="1" applyBorder="1" applyAlignment="1">
      <alignment vertical="center"/>
    </xf>
    <xf numFmtId="167" fontId="16" fillId="3" borderId="7" xfId="0" applyNumberFormat="1" applyFont="1" applyFill="1" applyBorder="1" applyAlignment="1">
      <alignment vertical="center"/>
    </xf>
    <xf numFmtId="167" fontId="17" fillId="3" borderId="15" xfId="0" applyNumberFormat="1" applyFont="1" applyFill="1" applyBorder="1" applyAlignment="1">
      <alignment vertical="center"/>
    </xf>
    <xf numFmtId="167" fontId="17" fillId="3" borderId="6" xfId="0" applyNumberFormat="1" applyFont="1" applyFill="1" applyBorder="1" applyAlignment="1">
      <alignment vertical="center"/>
    </xf>
    <xf numFmtId="167" fontId="17" fillId="3" borderId="7" xfId="0" applyNumberFormat="1" applyFont="1" applyFill="1" applyBorder="1" applyAlignment="1">
      <alignment vertical="center"/>
    </xf>
    <xf numFmtId="167" fontId="16" fillId="3" borderId="8" xfId="0" applyNumberFormat="1" applyFont="1" applyFill="1" applyBorder="1" applyAlignment="1">
      <alignment vertical="center"/>
    </xf>
    <xf numFmtId="167" fontId="17" fillId="3" borderId="16" xfId="0" applyNumberFormat="1" applyFont="1" applyFill="1" applyBorder="1" applyAlignment="1">
      <alignment vertical="center"/>
    </xf>
    <xf numFmtId="167" fontId="17" fillId="3" borderId="1" xfId="0" applyNumberFormat="1" applyFont="1" applyFill="1" applyBorder="1" applyAlignment="1">
      <alignment vertical="center"/>
    </xf>
    <xf numFmtId="167" fontId="17" fillId="3" borderId="9" xfId="0" applyNumberFormat="1" applyFont="1" applyFill="1" applyBorder="1" applyAlignment="1">
      <alignment vertical="center"/>
    </xf>
    <xf numFmtId="10" fontId="16" fillId="3" borderId="8" xfId="1" applyNumberFormat="1" applyFont="1" applyFill="1" applyBorder="1" applyAlignment="1">
      <alignment vertical="center"/>
    </xf>
    <xf numFmtId="10" fontId="16" fillId="3" borderId="9" xfId="1" applyNumberFormat="1" applyFont="1" applyFill="1" applyBorder="1" applyAlignment="1">
      <alignment vertical="center"/>
    </xf>
    <xf numFmtId="10" fontId="16" fillId="3" borderId="16" xfId="1" applyNumberFormat="1" applyFont="1" applyFill="1" applyBorder="1" applyAlignment="1">
      <alignment vertical="center"/>
    </xf>
    <xf numFmtId="10" fontId="16" fillId="3" borderId="1" xfId="1" applyNumberFormat="1" applyFont="1" applyFill="1" applyBorder="1" applyAlignment="1">
      <alignment vertical="center"/>
    </xf>
    <xf numFmtId="165" fontId="17" fillId="3" borderId="8" xfId="0" applyNumberFormat="1" applyFont="1" applyFill="1" applyBorder="1" applyAlignment="1">
      <alignment vertical="center"/>
    </xf>
    <xf numFmtId="164" fontId="16" fillId="3" borderId="8" xfId="1" applyNumberFormat="1" applyFont="1" applyFill="1" applyBorder="1" applyAlignment="1">
      <alignment vertical="center"/>
    </xf>
    <xf numFmtId="3" fontId="17" fillId="3" borderId="8" xfId="0" applyNumberFormat="1" applyFont="1" applyFill="1" applyBorder="1" applyAlignment="1">
      <alignment vertical="center"/>
    </xf>
    <xf numFmtId="165" fontId="16" fillId="3" borderId="9" xfId="0" applyNumberFormat="1" applyFont="1" applyFill="1" applyBorder="1" applyAlignment="1">
      <alignment vertical="center"/>
    </xf>
    <xf numFmtId="165" fontId="17" fillId="3" borderId="25" xfId="0" applyNumberFormat="1" applyFont="1" applyFill="1" applyBorder="1" applyAlignment="1">
      <alignment vertical="center"/>
    </xf>
    <xf numFmtId="167" fontId="16" fillId="3" borderId="21" xfId="0" applyNumberFormat="1" applyFont="1" applyFill="1" applyBorder="1" applyAlignment="1">
      <alignment vertical="center"/>
    </xf>
    <xf numFmtId="167" fontId="17" fillId="0" borderId="21" xfId="0" applyNumberFormat="1" applyFont="1" applyBorder="1" applyAlignment="1">
      <alignment vertical="center"/>
    </xf>
    <xf numFmtId="165" fontId="17" fillId="3" borderId="1" xfId="0" applyNumberFormat="1" applyFont="1" applyFill="1" applyBorder="1" applyAlignment="1">
      <alignment vertical="center"/>
    </xf>
    <xf numFmtId="167" fontId="16" fillId="3" borderId="1" xfId="0" applyNumberFormat="1" applyFont="1" applyFill="1" applyBorder="1" applyAlignment="1">
      <alignment vertical="center"/>
    </xf>
    <xf numFmtId="165" fontId="17" fillId="3" borderId="11" xfId="0" applyNumberFormat="1" applyFont="1" applyFill="1" applyBorder="1" applyAlignment="1">
      <alignment vertical="center"/>
    </xf>
    <xf numFmtId="167" fontId="16" fillId="3" borderId="11" xfId="0" applyNumberFormat="1" applyFont="1" applyFill="1" applyBorder="1" applyAlignment="1">
      <alignment vertical="center"/>
    </xf>
    <xf numFmtId="167" fontId="17" fillId="0" borderId="11" xfId="0" applyNumberFormat="1" applyFont="1" applyBorder="1" applyAlignment="1">
      <alignment vertical="center"/>
    </xf>
    <xf numFmtId="167" fontId="17" fillId="0" borderId="12" xfId="0" applyNumberFormat="1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165" fontId="17" fillId="3" borderId="4" xfId="0" applyNumberFormat="1" applyFont="1" applyFill="1" applyBorder="1" applyAlignment="1">
      <alignment vertical="center"/>
    </xf>
    <xf numFmtId="165" fontId="16" fillId="3" borderId="7" xfId="0" applyNumberFormat="1" applyFont="1" applyFill="1" applyBorder="1" applyAlignment="1">
      <alignment vertical="center"/>
    </xf>
    <xf numFmtId="3" fontId="17" fillId="0" borderId="15" xfId="0" applyNumberFormat="1" applyFont="1" applyBorder="1" applyAlignment="1">
      <alignment vertical="center"/>
    </xf>
    <xf numFmtId="3" fontId="17" fillId="0" borderId="6" xfId="0" applyNumberFormat="1" applyFont="1" applyBorder="1" applyAlignment="1">
      <alignment vertical="center"/>
    </xf>
    <xf numFmtId="3" fontId="17" fillId="0" borderId="7" xfId="0" applyNumberFormat="1" applyFont="1" applyBorder="1" applyAlignment="1">
      <alignment vertical="center"/>
    </xf>
    <xf numFmtId="165" fontId="17" fillId="3" borderId="10" xfId="0" applyNumberFormat="1" applyFont="1" applyFill="1" applyBorder="1" applyAlignment="1">
      <alignment vertical="center"/>
    </xf>
    <xf numFmtId="165" fontId="16" fillId="3" borderId="12" xfId="0" applyNumberFormat="1" applyFont="1" applyFill="1" applyBorder="1" applyAlignment="1">
      <alignment vertical="center"/>
    </xf>
    <xf numFmtId="0" fontId="4" fillId="4" borderId="34" xfId="0" applyFont="1" applyFill="1" applyBorder="1" applyAlignment="1">
      <alignment vertical="center"/>
    </xf>
    <xf numFmtId="0" fontId="7" fillId="5" borderId="28" xfId="0" applyFont="1" applyFill="1" applyBorder="1" applyAlignment="1">
      <alignment vertical="center"/>
    </xf>
    <xf numFmtId="0" fontId="6" fillId="7" borderId="29" xfId="0" applyFont="1" applyFill="1" applyBorder="1" applyAlignment="1">
      <alignment vertical="center"/>
    </xf>
    <xf numFmtId="0" fontId="18" fillId="6" borderId="31" xfId="0" applyFont="1" applyFill="1" applyBorder="1" applyAlignment="1">
      <alignment vertical="center"/>
    </xf>
    <xf numFmtId="0" fontId="18" fillId="7" borderId="29" xfId="0" applyFont="1" applyFill="1" applyBorder="1" applyAlignment="1">
      <alignment vertical="center"/>
    </xf>
    <xf numFmtId="0" fontId="2" fillId="7" borderId="16" xfId="0" applyFont="1" applyFill="1" applyBorder="1" applyAlignment="1">
      <alignment vertical="center"/>
    </xf>
    <xf numFmtId="0" fontId="2" fillId="7" borderId="17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16" fillId="0" borderId="15" xfId="1" applyNumberFormat="1" applyFont="1" applyFill="1" applyBorder="1" applyAlignment="1">
      <alignment vertical="center"/>
    </xf>
    <xf numFmtId="164" fontId="16" fillId="0" borderId="6" xfId="1" applyNumberFormat="1" applyFont="1" applyFill="1" applyBorder="1" applyAlignment="1">
      <alignment vertical="center"/>
    </xf>
    <xf numFmtId="164" fontId="16" fillId="0" borderId="7" xfId="1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165" fontId="17" fillId="3" borderId="14" xfId="0" applyNumberFormat="1" applyFont="1" applyFill="1" applyBorder="1" applyAlignment="1">
      <alignment vertical="center"/>
    </xf>
    <xf numFmtId="168" fontId="16" fillId="3" borderId="2" xfId="0" applyNumberFormat="1" applyFont="1" applyFill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164" fontId="16" fillId="3" borderId="43" xfId="1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" fontId="17" fillId="3" borderId="1" xfId="0" applyNumberFormat="1" applyFont="1" applyFill="1" applyBorder="1" applyAlignment="1">
      <alignment vertical="center"/>
    </xf>
    <xf numFmtId="3" fontId="16" fillId="3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5" borderId="6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3" fontId="17" fillId="3" borderId="11" xfId="0" applyNumberFormat="1" applyFont="1" applyFill="1" applyBorder="1" applyAlignment="1">
      <alignment vertical="center"/>
    </xf>
    <xf numFmtId="3" fontId="16" fillId="3" borderId="11" xfId="0" applyNumberFormat="1" applyFont="1" applyFill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8" fillId="6" borderId="6" xfId="0" applyFont="1" applyFill="1" applyBorder="1" applyAlignment="1">
      <alignment vertical="center"/>
    </xf>
  </cellXfs>
  <cellStyles count="7">
    <cellStyle name="Lien hypertexte" xfId="6" builtinId="8"/>
    <cellStyle name="Milliers 2" xfId="2" xr:uid="{367389C3-D737-43DB-8C1E-5E592E4B153F}"/>
    <cellStyle name="Normal" xfId="0" builtinId="0"/>
    <cellStyle name="Normal 2" xfId="3" xr:uid="{E479C1D5-EDEA-4FE4-AE72-A6F69D37ED20}"/>
    <cellStyle name="Normal 3" xfId="4" xr:uid="{D3A85056-7C6B-4C70-B5EC-7832EC4C2B5B}"/>
    <cellStyle name="Pourcentage" xfId="1" builtinId="5"/>
    <cellStyle name="Pourcentage 2" xfId="5" xr:uid="{27B7EECE-5C5F-4AD4-94AA-593B4AA54EA1}"/>
  </cellStyles>
  <dxfs count="20"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37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400"/>
              <a:t>Turnover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3511995045357839"/>
          <c:y val="7.9551263342843098E-2"/>
          <c:w val="0.71721038632218481"/>
          <c:h val="0.765358909856014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'SC Performance Metrics'!$B$4</c:f>
              <c:strCache>
                <c:ptCount val="1"/>
                <c:pt idx="0">
                  <c:v>Turnover External € (HG)</c:v>
                </c:pt>
              </c:strCache>
            </c:strRef>
          </c:tx>
          <c:spPr>
            <a:solidFill>
              <a:srgbClr val="003755"/>
            </a:solidFill>
            <a:ln>
              <a:noFill/>
            </a:ln>
            <a:effectLst/>
          </c:spPr>
          <c:invertIfNegative val="0"/>
          <c:val>
            <c:numRef>
              <c:f>'SC Performance Metrics'!$G$4:$R$4</c:f>
              <c:numCache>
                <c:formatCode>#\ ##0.0\ \ " M€"</c:formatCode>
                <c:ptCount val="12"/>
                <c:pt idx="0">
                  <c:v>5668494.8700000159</c:v>
                </c:pt>
                <c:pt idx="1">
                  <c:v>5318505.9400000162</c:v>
                </c:pt>
                <c:pt idx="2">
                  <c:v>5737558.8962000161</c:v>
                </c:pt>
                <c:pt idx="3">
                  <c:v>4397471.6400000127</c:v>
                </c:pt>
                <c:pt idx="4">
                  <c:v>4296570.6421000101</c:v>
                </c:pt>
                <c:pt idx="5">
                  <c:v>4736401.0460999962</c:v>
                </c:pt>
                <c:pt idx="6">
                  <c:v>4060739.8550999924</c:v>
                </c:pt>
                <c:pt idx="7">
                  <c:v>3752632.129999999</c:v>
                </c:pt>
                <c:pt idx="8">
                  <c:v>4890658.003200002</c:v>
                </c:pt>
                <c:pt idx="9">
                  <c:v>2789034.9199999971</c:v>
                </c:pt>
                <c:pt idx="10">
                  <c:v>3435469.1099999994</c:v>
                </c:pt>
                <c:pt idx="11">
                  <c:v>2942738.8566999957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9-4857-9B32-38A19635C5B9}"/>
            </c:ext>
          </c:extLst>
        </c:ser>
        <c:ser>
          <c:idx val="1"/>
          <c:order val="1"/>
          <c:tx>
            <c:strRef>
              <c:f>'SC Performance Metrics'!$B$3</c:f>
              <c:strCache>
                <c:ptCount val="1"/>
                <c:pt idx="0">
                  <c:v>Turnover Internal € (G + GU)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'SC Performance Metrics'!$G$3:$R$3</c:f>
              <c:numCache>
                <c:formatCode>#\ ##0.0\ \ " M€"</c:formatCode>
                <c:ptCount val="12"/>
                <c:pt idx="0">
                  <c:v>6290758.4700000007</c:v>
                </c:pt>
                <c:pt idx="1">
                  <c:v>7635995.4700000025</c:v>
                </c:pt>
                <c:pt idx="2">
                  <c:v>8426865.930000009</c:v>
                </c:pt>
                <c:pt idx="3">
                  <c:v>7667179.4800000004</c:v>
                </c:pt>
                <c:pt idx="4">
                  <c:v>8780860.1948000081</c:v>
                </c:pt>
                <c:pt idx="5">
                  <c:v>8043193.2814000119</c:v>
                </c:pt>
                <c:pt idx="6">
                  <c:v>6912356.6881999979</c:v>
                </c:pt>
                <c:pt idx="7">
                  <c:v>1795188.0146000006</c:v>
                </c:pt>
                <c:pt idx="8">
                  <c:v>6604172.7070000041</c:v>
                </c:pt>
                <c:pt idx="9">
                  <c:v>8035262.2894000076</c:v>
                </c:pt>
                <c:pt idx="10">
                  <c:v>4168419.9582999991</c:v>
                </c:pt>
                <c:pt idx="11">
                  <c:v>2742764.7475999976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29-4857-9B32-38A19635C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920735"/>
        <c:axId val="451922399"/>
      </c:barChart>
      <c:catAx>
        <c:axId val="4519207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51922399"/>
        <c:crosses val="autoZero"/>
        <c:auto val="1"/>
        <c:lblAlgn val="ctr"/>
        <c:lblOffset val="100"/>
        <c:noMultiLvlLbl val="0"/>
      </c:catAx>
      <c:valAx>
        <c:axId val="451922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\ \ &quot; M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51920735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400"/>
              <a:t>KPI CBN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1458122934657897"/>
          <c:y val="0.11425608741811118"/>
          <c:w val="0.74101829523829166"/>
          <c:h val="0.5597701592434049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'SC Performance Metrics'!$B$64</c:f>
              <c:strCache>
                <c:ptCount val="1"/>
                <c:pt idx="0">
                  <c:v>KPI 8 - Gap Customer order vs Sales Forecasts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'SC Performance Metrics'!$G$1:$R$1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'SC Performance Metrics'!$G$64:$R$64</c:f>
              <c:numCache>
                <c:formatCode>#,##0</c:formatCode>
                <c:ptCount val="12"/>
                <c:pt idx="0">
                  <c:v>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73-4244-992B-49F2A20ADC46}"/>
            </c:ext>
          </c:extLst>
        </c:ser>
        <c:ser>
          <c:idx val="5"/>
          <c:order val="1"/>
          <c:tx>
            <c:strRef>
              <c:f>'SC Performance Metrics'!$B$63</c:f>
              <c:strCache>
                <c:ptCount val="1"/>
                <c:pt idx="0">
                  <c:v>KPI 7 - Stock &lt;0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'SC Performance Metrics'!$G$1:$R$1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'SC Performance Metrics'!$G$63:$R$63</c:f>
              <c:numCache>
                <c:formatCode>#,##0</c:formatCode>
                <c:ptCount val="12"/>
                <c:pt idx="0">
                  <c:v>7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73-4244-992B-49F2A20ADC46}"/>
            </c:ext>
          </c:extLst>
        </c:ser>
        <c:ser>
          <c:idx val="4"/>
          <c:order val="2"/>
          <c:tx>
            <c:strRef>
              <c:f>'SC Performance Metrics'!$B$62</c:f>
              <c:strCache>
                <c:ptCount val="1"/>
                <c:pt idx="0">
                  <c:v>KPI 6 - Parts to finished without Gamme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'SC Performance Metrics'!$G$1:$R$1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'SC Performance Metrics'!$G$62:$R$62</c:f>
              <c:numCache>
                <c:formatCode>#,##0</c:formatCode>
                <c:ptCount val="12"/>
                <c:pt idx="0">
                  <c:v>6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73-4244-992B-49F2A20ADC46}"/>
            </c:ext>
          </c:extLst>
        </c:ser>
        <c:ser>
          <c:idx val="3"/>
          <c:order val="3"/>
          <c:tx>
            <c:strRef>
              <c:f>'SC Performance Metrics'!$B$61</c:f>
              <c:strCache>
                <c:ptCount val="1"/>
                <c:pt idx="0">
                  <c:v>KPI 5 - Production without child parts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'SC Performance Metrics'!$G$1:$R$1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'SC Performance Metrics'!$G$61:$R$61</c:f>
              <c:numCache>
                <c:formatCode>#,##0</c:formatCode>
                <c:ptCount val="12"/>
                <c:pt idx="0">
                  <c:v>5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73-4244-992B-49F2A20ADC46}"/>
            </c:ext>
          </c:extLst>
        </c:ser>
        <c:ser>
          <c:idx val="7"/>
          <c:order val="4"/>
          <c:tx>
            <c:strRef>
              <c:f>'SC Performance Metrics'!$B$60</c:f>
              <c:strCache>
                <c:ptCount val="1"/>
                <c:pt idx="0">
                  <c:v>KPI 4 - Production without Gamme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'SC Performance Metrics'!$G$60:$R$60</c:f>
              <c:numCache>
                <c:formatCode>#,##0</c:formatCode>
                <c:ptCount val="12"/>
                <c:pt idx="0">
                  <c:v>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73-4244-992B-49F2A20ADC46}"/>
            </c:ext>
          </c:extLst>
        </c:ser>
        <c:ser>
          <c:idx val="2"/>
          <c:order val="5"/>
          <c:tx>
            <c:strRef>
              <c:f>'SC Performance Metrics'!$B$59</c:f>
              <c:strCache>
                <c:ptCount val="1"/>
                <c:pt idx="0">
                  <c:v>KPI 3 - P/N Do Not Supply with stock break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'SC Performance Metrics'!$G$1:$R$1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'SC Performance Metrics'!$G$59:$R$59</c:f>
              <c:numCache>
                <c:formatCode>#,##0</c:formatCode>
                <c:ptCount val="12"/>
                <c:pt idx="0">
                  <c:v>3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73-4244-992B-49F2A20ADC46}"/>
            </c:ext>
          </c:extLst>
        </c:ser>
        <c:ser>
          <c:idx val="1"/>
          <c:order val="6"/>
          <c:tx>
            <c:strRef>
              <c:f>'SC Performance Metrics'!$B$58</c:f>
              <c:strCache>
                <c:ptCount val="1"/>
                <c:pt idx="0">
                  <c:v>KPI 2 - Part not set 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'SC Performance Metrics'!$G$1:$R$1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'SC Performance Metrics'!$G$58:$R$58</c:f>
              <c:numCache>
                <c:formatCode>#,##0</c:formatCode>
                <c:ptCount val="1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3-4244-992B-49F2A20ADC46}"/>
            </c:ext>
          </c:extLst>
        </c:ser>
        <c:ser>
          <c:idx val="0"/>
          <c:order val="7"/>
          <c:tx>
            <c:strRef>
              <c:f>'SC Performance Metrics'!$B$57</c:f>
              <c:strCache>
                <c:ptCount val="1"/>
                <c:pt idx="0">
                  <c:v>KPI 1 - Stock break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'SC Performance Metrics'!$G$1:$R$1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'SC Performance Metrics'!$G$57:$R$57</c:f>
              <c:numCache>
                <c:formatCode>#,##0</c:formatCode>
                <c:ptCount val="12"/>
                <c:pt idx="0">
                  <c:v>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3-4244-992B-49F2A20AD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667264"/>
        <c:axId val="469666432"/>
      </c:barChart>
      <c:catAx>
        <c:axId val="46966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69666432"/>
        <c:crosses val="autoZero"/>
        <c:auto val="1"/>
        <c:lblAlgn val="ctr"/>
        <c:lblOffset val="100"/>
        <c:noMultiLvlLbl val="0"/>
      </c:catAx>
      <c:valAx>
        <c:axId val="46966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6966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660985043659873E-2"/>
          <c:y val="0.72907752827621464"/>
          <c:w val="0.93694635091407485"/>
          <c:h val="0.269639183178346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400"/>
              <a:t>Production Schedule Realization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'SC Performance Metrics'!$G$67:$R$67</c:f>
              <c:numCache>
                <c:formatCode>0.0%</c:formatCode>
                <c:ptCount val="12"/>
                <c:pt idx="0">
                  <c:v>0.56055900621118004</c:v>
                </c:pt>
                <c:pt idx="1">
                  <c:v>0.6530014641288433</c:v>
                </c:pt>
                <c:pt idx="2">
                  <c:v>0.7120418848167539</c:v>
                </c:pt>
                <c:pt idx="3">
                  <c:v>0.61426256077795793</c:v>
                </c:pt>
                <c:pt idx="4">
                  <c:v>0.63440860215053763</c:v>
                </c:pt>
                <c:pt idx="5">
                  <c:v>0.71636952998379255</c:v>
                </c:pt>
                <c:pt idx="6">
                  <c:v>0.73544973544973546</c:v>
                </c:pt>
                <c:pt idx="7">
                  <c:v>0.62222222222222223</c:v>
                </c:pt>
                <c:pt idx="8">
                  <c:v>0.73145780051150888</c:v>
                </c:pt>
                <c:pt idx="9">
                  <c:v>0.7567567567567568</c:v>
                </c:pt>
                <c:pt idx="10">
                  <c:v>0.64806866952789699</c:v>
                </c:pt>
                <c:pt idx="11">
                  <c:v>0.71518987341772156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360-4D5B-ABDB-D478F04EF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020335"/>
        <c:axId val="576027407"/>
      </c:lineChart>
      <c:catAx>
        <c:axId val="5760203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76027407"/>
        <c:crosses val="autoZero"/>
        <c:auto val="1"/>
        <c:lblAlgn val="ctr"/>
        <c:lblOffset val="100"/>
        <c:noMultiLvlLbl val="0"/>
      </c:catAx>
      <c:valAx>
        <c:axId val="57602740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76020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accent1"/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/>
              <a:t>Production</a:t>
            </a:r>
            <a:r>
              <a:rPr lang="fr-FR" baseline="0"/>
              <a:t> Loading Rate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'SC Performance Metrics'!$G$66:$R$66</c:f>
              <c:numCache>
                <c:formatCode>0.0%</c:formatCode>
                <c:ptCount val="12"/>
                <c:pt idx="0">
                  <c:v>0.56055900621118004</c:v>
                </c:pt>
                <c:pt idx="1">
                  <c:v>0.6530014641288433</c:v>
                </c:pt>
                <c:pt idx="2">
                  <c:v>0.7120418848167539</c:v>
                </c:pt>
                <c:pt idx="3">
                  <c:v>0.61426256077795793</c:v>
                </c:pt>
                <c:pt idx="4">
                  <c:v>0.63440860215053763</c:v>
                </c:pt>
                <c:pt idx="5">
                  <c:v>0.71636952998379255</c:v>
                </c:pt>
                <c:pt idx="6">
                  <c:v>0.73544973544973546</c:v>
                </c:pt>
                <c:pt idx="7">
                  <c:v>0.62222222222222223</c:v>
                </c:pt>
                <c:pt idx="8">
                  <c:v>0.73145780051150888</c:v>
                </c:pt>
                <c:pt idx="9">
                  <c:v>0.7567567567567568</c:v>
                </c:pt>
                <c:pt idx="10">
                  <c:v>0.64806866952789699</c:v>
                </c:pt>
                <c:pt idx="11">
                  <c:v>0.71518987341772156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359-4FEE-BF78-E26F800C0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51071"/>
        <c:axId val="41351487"/>
      </c:lineChart>
      <c:catAx>
        <c:axId val="413510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351487"/>
        <c:crosses val="autoZero"/>
        <c:auto val="1"/>
        <c:lblAlgn val="ctr"/>
        <c:lblOffset val="100"/>
        <c:noMultiLvlLbl val="0"/>
      </c:catAx>
      <c:valAx>
        <c:axId val="4135148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351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400"/>
              <a:t>Customer Perfect Oders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'SC Performance Metrics'!$G$8:$R$8</c:f>
              <c:numCache>
                <c:formatCode>0.0%</c:formatCode>
                <c:ptCount val="12"/>
                <c:pt idx="0">
                  <c:v>0.97250361794500728</c:v>
                </c:pt>
                <c:pt idx="1">
                  <c:v>0.97538461538461541</c:v>
                </c:pt>
                <c:pt idx="2">
                  <c:v>0.98457223001402527</c:v>
                </c:pt>
                <c:pt idx="3">
                  <c:v>0.99484536082474229</c:v>
                </c:pt>
                <c:pt idx="4">
                  <c:v>0.98983739837398377</c:v>
                </c:pt>
                <c:pt idx="5">
                  <c:v>0.99350649350649356</c:v>
                </c:pt>
                <c:pt idx="6">
                  <c:v>0.99025341130604283</c:v>
                </c:pt>
                <c:pt idx="7">
                  <c:v>0.96888888888888891</c:v>
                </c:pt>
                <c:pt idx="8">
                  <c:v>0.99640933572710955</c:v>
                </c:pt>
                <c:pt idx="9">
                  <c:v>0.98645598194130923</c:v>
                </c:pt>
                <c:pt idx="10">
                  <c:v>0.99015748031496065</c:v>
                </c:pt>
                <c:pt idx="11">
                  <c:v>0.98241206030150752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BC8-483D-ADDE-480EEB15D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020335"/>
        <c:axId val="576027407"/>
      </c:lineChart>
      <c:catAx>
        <c:axId val="5760203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76027407"/>
        <c:crosses val="autoZero"/>
        <c:auto val="1"/>
        <c:lblAlgn val="ctr"/>
        <c:lblOffset val="100"/>
        <c:noMultiLvlLbl val="0"/>
      </c:catAx>
      <c:valAx>
        <c:axId val="57602740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76020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rgbClr val="00B050"/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/>
              <a:t>Distribution</a:t>
            </a:r>
            <a:r>
              <a:rPr lang="fr-FR" baseline="0"/>
              <a:t> OTIF (Shipping)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'SC Performance Metrics'!$G$13:$R$13</c:f>
              <c:numCache>
                <c:formatCode>0.0%</c:formatCode>
                <c:ptCount val="12"/>
                <c:pt idx="0">
                  <c:v>0.56055900621118004</c:v>
                </c:pt>
                <c:pt idx="1">
                  <c:v>0.6530014641288433</c:v>
                </c:pt>
                <c:pt idx="2">
                  <c:v>0.7120418848167539</c:v>
                </c:pt>
                <c:pt idx="3">
                  <c:v>0.61426256077795793</c:v>
                </c:pt>
                <c:pt idx="4">
                  <c:v>0.63440860215053763</c:v>
                </c:pt>
                <c:pt idx="5">
                  <c:v>0.71636952998379255</c:v>
                </c:pt>
                <c:pt idx="6">
                  <c:v>0.73544973544973546</c:v>
                </c:pt>
                <c:pt idx="7">
                  <c:v>0.62222222222222223</c:v>
                </c:pt>
                <c:pt idx="8">
                  <c:v>0.73145780051150888</c:v>
                </c:pt>
                <c:pt idx="9">
                  <c:v>0.7567567567567568</c:v>
                </c:pt>
                <c:pt idx="10">
                  <c:v>0.64806866952789699</c:v>
                </c:pt>
                <c:pt idx="11">
                  <c:v>0.71518987341772156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67F-4260-9252-9C6A2A11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51071"/>
        <c:axId val="41351487"/>
      </c:lineChart>
      <c:catAx>
        <c:axId val="413510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351487"/>
        <c:crosses val="autoZero"/>
        <c:auto val="1"/>
        <c:lblAlgn val="ctr"/>
        <c:lblOffset val="100"/>
        <c:noMultiLvlLbl val="0"/>
      </c:catAx>
      <c:valAx>
        <c:axId val="4135148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351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400"/>
              <a:t>Inventory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3494726261014021"/>
          <c:y val="7.933052765779848E-2"/>
          <c:w val="0.71741808595991663"/>
          <c:h val="0.76392337536540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'SC Performance Metrics'!$B$27</c:f>
              <c:strCache>
                <c:ptCount val="1"/>
                <c:pt idx="0">
                  <c:v>Inventory (Finished goods)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val>
            <c:numRef>
              <c:f>'SC Performance Metrics'!$G$27:$R$27</c:f>
              <c:numCache>
                <c:formatCode>#\ ##0.0\ \ " M€"</c:formatCode>
                <c:ptCount val="12"/>
                <c:pt idx="0">
                  <c:v>3434715.8540876573</c:v>
                </c:pt>
                <c:pt idx="1">
                  <c:v>6653790.1642361935</c:v>
                </c:pt>
                <c:pt idx="2">
                  <c:v>6036126.9888610775</c:v>
                </c:pt>
                <c:pt idx="3">
                  <c:v>6614385.6544392463</c:v>
                </c:pt>
                <c:pt idx="4">
                  <c:v>7230241.2980958447</c:v>
                </c:pt>
                <c:pt idx="5">
                  <c:v>7382120.6622435562</c:v>
                </c:pt>
                <c:pt idx="6">
                  <c:v>7701027.2219368564</c:v>
                </c:pt>
                <c:pt idx="7">
                  <c:v>7617164.2366480259</c:v>
                </c:pt>
                <c:pt idx="8">
                  <c:v>8270787.5344893513</c:v>
                </c:pt>
                <c:pt idx="9">
                  <c:v>8672987.2703136634</c:v>
                </c:pt>
                <c:pt idx="10">
                  <c:v>8852537.8362999763</c:v>
                </c:pt>
                <c:pt idx="11">
                  <c:v>8439738.1478651389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1C-40FA-89B1-AFD3FE377CBB}"/>
            </c:ext>
          </c:extLst>
        </c:ser>
        <c:ser>
          <c:idx val="1"/>
          <c:order val="1"/>
          <c:tx>
            <c:strRef>
              <c:f>'SC Performance Metrics'!$B$26</c:f>
              <c:strCache>
                <c:ptCount val="1"/>
                <c:pt idx="0">
                  <c:v>Inventory (Work In Progress)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'SC Performance Metrics'!$G$26:$R$26</c:f>
              <c:numCache>
                <c:formatCode>#\ ##0.0\ \ " M€"</c:formatCode>
                <c:ptCount val="12"/>
                <c:pt idx="0">
                  <c:v>5697264.208014478</c:v>
                </c:pt>
                <c:pt idx="1">
                  <c:v>5896796.7354035117</c:v>
                </c:pt>
                <c:pt idx="2">
                  <c:v>6185232.7897540713</c:v>
                </c:pt>
                <c:pt idx="3">
                  <c:v>6072674.4183281278</c:v>
                </c:pt>
                <c:pt idx="4">
                  <c:v>6366620.8074587164</c:v>
                </c:pt>
                <c:pt idx="5">
                  <c:v>6171699.3407844938</c:v>
                </c:pt>
                <c:pt idx="6">
                  <c:v>6106927.9444336807</c:v>
                </c:pt>
                <c:pt idx="7">
                  <c:v>6936570.100868267</c:v>
                </c:pt>
                <c:pt idx="8">
                  <c:v>7078297.6301781498</c:v>
                </c:pt>
                <c:pt idx="9">
                  <c:v>6543135.7867200263</c:v>
                </c:pt>
                <c:pt idx="10">
                  <c:v>6226838.8224445889</c:v>
                </c:pt>
                <c:pt idx="11">
                  <c:v>3231359.8106102073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1C-40FA-89B1-AFD3FE377CBB}"/>
            </c:ext>
          </c:extLst>
        </c:ser>
        <c:ser>
          <c:idx val="0"/>
          <c:order val="2"/>
          <c:tx>
            <c:strRef>
              <c:f>'SC Performance Metrics'!$B$25</c:f>
              <c:strCache>
                <c:ptCount val="1"/>
                <c:pt idx="0">
                  <c:v>Inventory (Raw materials &amp; Component)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'SC Performance Metrics'!$G$25:$R$25</c:f>
              <c:numCache>
                <c:formatCode>#\ ##0.0\ \ " M€"</c:formatCode>
                <c:ptCount val="12"/>
                <c:pt idx="0">
                  <c:v>4348518.2547271783</c:v>
                </c:pt>
                <c:pt idx="1">
                  <c:v>1351049.6722222415</c:v>
                </c:pt>
                <c:pt idx="2">
                  <c:v>1724033.8429048306</c:v>
                </c:pt>
                <c:pt idx="3">
                  <c:v>1587939.0620462934</c:v>
                </c:pt>
                <c:pt idx="4">
                  <c:v>1778202.3603109594</c:v>
                </c:pt>
                <c:pt idx="5">
                  <c:v>1927483.332655573</c:v>
                </c:pt>
                <c:pt idx="6">
                  <c:v>1620315.0377601895</c:v>
                </c:pt>
                <c:pt idx="7">
                  <c:v>2088109.2025311466</c:v>
                </c:pt>
                <c:pt idx="8">
                  <c:v>1812794.9588152256</c:v>
                </c:pt>
                <c:pt idx="9">
                  <c:v>1335495.4878934063</c:v>
                </c:pt>
                <c:pt idx="10">
                  <c:v>1501126.3618183739</c:v>
                </c:pt>
                <c:pt idx="11">
                  <c:v>1270998.6363603098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C-40FA-89B1-AFD3FE377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2910159"/>
        <c:axId val="642913071"/>
      </c:barChart>
      <c:catAx>
        <c:axId val="64291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42913071"/>
        <c:crosses val="autoZero"/>
        <c:auto val="1"/>
        <c:lblAlgn val="ctr"/>
        <c:lblOffset val="100"/>
        <c:noMultiLvlLbl val="0"/>
      </c:catAx>
      <c:valAx>
        <c:axId val="642913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\ \ &quot; M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42910159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400"/>
              <a:t>SC Non Quality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4594801091681265"/>
          <c:y val="0.12279007305434565"/>
          <c:w val="0.69723087406775175"/>
          <c:h val="0.544198792679745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'SC Performance Metrics'!$B$29</c:f>
              <c:strCache>
                <c:ptCount val="1"/>
                <c:pt idx="0">
                  <c:v>Inventory Correction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'SC Performance Metrics'!$G$29:$R$29</c:f>
              <c:numCache>
                <c:formatCode>#\ ##0.0\ " K€"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300000</c:v>
                </c:pt>
                <c:pt idx="3">
                  <c:v>72000</c:v>
                </c:pt>
                <c:pt idx="4">
                  <c:v>0</c:v>
                </c:pt>
                <c:pt idx="5">
                  <c:v>66000</c:v>
                </c:pt>
                <c:pt idx="6">
                  <c:v>35000</c:v>
                </c:pt>
                <c:pt idx="7">
                  <c:v>179000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433800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C-4013-9CD2-AD0F2360D4BE}"/>
            </c:ext>
          </c:extLst>
        </c:ser>
        <c:ser>
          <c:idx val="1"/>
          <c:order val="1"/>
          <c:tx>
            <c:strRef>
              <c:f>'SC Performance Metrics'!$B$44</c:f>
              <c:strCache>
                <c:ptCount val="1"/>
                <c:pt idx="0">
                  <c:v>Logistics costs (Premium Freight)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'SC Performance Metrics'!$G$44:$R$44</c:f>
              <c:numCache>
                <c:formatCode>#\ ##0.0\ " K€"</c:formatCode>
                <c:ptCount val="12"/>
                <c:pt idx="0">
                  <c:v>31331</c:v>
                </c:pt>
                <c:pt idx="1">
                  <c:v>21746</c:v>
                </c:pt>
                <c:pt idx="2">
                  <c:v>27013</c:v>
                </c:pt>
                <c:pt idx="3">
                  <c:v>8886</c:v>
                </c:pt>
                <c:pt idx="4">
                  <c:v>12918</c:v>
                </c:pt>
                <c:pt idx="5">
                  <c:v>9561</c:v>
                </c:pt>
                <c:pt idx="6">
                  <c:v>14810</c:v>
                </c:pt>
                <c:pt idx="7">
                  <c:v>4717</c:v>
                </c:pt>
                <c:pt idx="8">
                  <c:v>6799</c:v>
                </c:pt>
                <c:pt idx="9">
                  <c:v>12981</c:v>
                </c:pt>
                <c:pt idx="10">
                  <c:v>8852</c:v>
                </c:pt>
                <c:pt idx="11">
                  <c:v>4610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CC-4013-9CD2-AD0F2360D4BE}"/>
            </c:ext>
          </c:extLst>
        </c:ser>
        <c:ser>
          <c:idx val="2"/>
          <c:order val="2"/>
          <c:tx>
            <c:strRef>
              <c:f>'SC Performance Metrics'!$B$5</c:f>
              <c:strCache>
                <c:ptCount val="1"/>
                <c:pt idx="0">
                  <c:v>Logistic Credit Notes €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'SC Performance Metrics'!$G$5:$R$5</c:f>
              <c:numCache>
                <c:formatCode>#\ ##0.0\ " K€"</c:formatCode>
                <c:ptCount val="12"/>
                <c:pt idx="0">
                  <c:v>6234</c:v>
                </c:pt>
                <c:pt idx="1">
                  <c:v>3091</c:v>
                </c:pt>
                <c:pt idx="2">
                  <c:v>75586</c:v>
                </c:pt>
                <c:pt idx="3">
                  <c:v>0</c:v>
                </c:pt>
                <c:pt idx="4">
                  <c:v>4758</c:v>
                </c:pt>
                <c:pt idx="5">
                  <c:v>131043</c:v>
                </c:pt>
                <c:pt idx="6">
                  <c:v>22850</c:v>
                </c:pt>
                <c:pt idx="7">
                  <c:v>34424</c:v>
                </c:pt>
                <c:pt idx="8">
                  <c:v>26</c:v>
                </c:pt>
                <c:pt idx="9">
                  <c:v>0</c:v>
                </c:pt>
                <c:pt idx="10">
                  <c:v>10293</c:v>
                </c:pt>
                <c:pt idx="11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6-4D7D-8842-1DB80DAD5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6489103"/>
        <c:axId val="626489519"/>
      </c:barChart>
      <c:catAx>
        <c:axId val="6264891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6489519"/>
        <c:crosses val="autoZero"/>
        <c:auto val="1"/>
        <c:lblAlgn val="ctr"/>
        <c:lblOffset val="100"/>
        <c:noMultiLvlLbl val="0"/>
      </c:catAx>
      <c:valAx>
        <c:axId val="626489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\ &quot; K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6489103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843306569016488"/>
          <c:y val="0.78616936183775787"/>
          <c:w val="0.62313365416086319"/>
          <c:h val="0.149373906900118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400"/>
              <a:t>Logistics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954629331596972"/>
          <c:y val="7.8379931127878652E-2"/>
          <c:w val="0.6219993925263585"/>
          <c:h val="0.63432687032931412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'SC Performance Metrics'!$B$45</c:f>
              <c:strCache>
                <c:ptCount val="1"/>
                <c:pt idx="0">
                  <c:v>Logistics costs (Employees &amp; Temporaries)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'SC Performance Metrics'!$G$45:$R$45</c:f>
              <c:numCache>
                <c:formatCode>#\ ##0.0\ " K€"</c:formatCode>
                <c:ptCount val="12"/>
                <c:pt idx="0">
                  <c:v>85814</c:v>
                </c:pt>
                <c:pt idx="1">
                  <c:v>85814</c:v>
                </c:pt>
                <c:pt idx="2">
                  <c:v>85814</c:v>
                </c:pt>
                <c:pt idx="3">
                  <c:v>85814</c:v>
                </c:pt>
                <c:pt idx="4">
                  <c:v>85814</c:v>
                </c:pt>
                <c:pt idx="5">
                  <c:v>81814</c:v>
                </c:pt>
                <c:pt idx="6">
                  <c:v>81814</c:v>
                </c:pt>
                <c:pt idx="7">
                  <c:v>81814</c:v>
                </c:pt>
                <c:pt idx="8">
                  <c:v>81814</c:v>
                </c:pt>
                <c:pt idx="9">
                  <c:v>80054.881833333347</c:v>
                </c:pt>
                <c:pt idx="10">
                  <c:v>80054.881833333347</c:v>
                </c:pt>
                <c:pt idx="11">
                  <c:v>80054.881833333347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5A-4497-8079-2CF66F18047D}"/>
            </c:ext>
          </c:extLst>
        </c:ser>
        <c:ser>
          <c:idx val="5"/>
          <c:order val="1"/>
          <c:tx>
            <c:strRef>
              <c:f>'SC Performance Metrics'!$B$41</c:f>
              <c:strCache>
                <c:ptCount val="1"/>
                <c:pt idx="0">
                  <c:v>Logistics costs (External Warehousing)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val>
            <c:numRef>
              <c:f>'SC Performance Metrics'!$G$41:$R$41</c:f>
              <c:numCache>
                <c:formatCode>#\ ##0.0\ " K€"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5A-4497-8079-2CF66F18047D}"/>
            </c:ext>
          </c:extLst>
        </c:ser>
        <c:ser>
          <c:idx val="7"/>
          <c:order val="2"/>
          <c:tx>
            <c:strRef>
              <c:f>'SC Performance Metrics'!$B$37</c:f>
              <c:strCache>
                <c:ptCount val="1"/>
                <c:pt idx="0">
                  <c:v>Logistics costs (Internal Warehousing)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'SC Performance Metrics'!$G$37:$R$37</c:f>
              <c:numCache>
                <c:formatCode>#\ ##0.0\ " K€"</c:formatCode>
                <c:ptCount val="12"/>
                <c:pt idx="0">
                  <c:v>11250</c:v>
                </c:pt>
                <c:pt idx="1">
                  <c:v>11250</c:v>
                </c:pt>
                <c:pt idx="2">
                  <c:v>11250</c:v>
                </c:pt>
                <c:pt idx="3">
                  <c:v>11250</c:v>
                </c:pt>
                <c:pt idx="4">
                  <c:v>11250</c:v>
                </c:pt>
                <c:pt idx="5">
                  <c:v>11250</c:v>
                </c:pt>
                <c:pt idx="6">
                  <c:v>11250</c:v>
                </c:pt>
                <c:pt idx="7">
                  <c:v>11250</c:v>
                </c:pt>
                <c:pt idx="8">
                  <c:v>11250</c:v>
                </c:pt>
                <c:pt idx="9">
                  <c:v>11250</c:v>
                </c:pt>
                <c:pt idx="10">
                  <c:v>11250</c:v>
                </c:pt>
                <c:pt idx="11">
                  <c:v>11250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48-45BF-A044-26E085D00FF1}"/>
            </c:ext>
          </c:extLst>
        </c:ser>
        <c:ser>
          <c:idx val="0"/>
          <c:order val="3"/>
          <c:tx>
            <c:strRef>
              <c:f>'SC Performance Metrics'!$B$36</c:f>
              <c:strCache>
                <c:ptCount val="1"/>
                <c:pt idx="0">
                  <c:v>Logistics costs (Inventory Carrying)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'SC Performance Metrics'!$G$36:$R$36</c:f>
              <c:numCache>
                <c:formatCode>#\ ##0.0\ " K€"</c:formatCode>
                <c:ptCount val="12"/>
                <c:pt idx="0">
                  <c:v>33701.245792073285</c:v>
                </c:pt>
                <c:pt idx="1">
                  <c:v>34754.091429654865</c:v>
                </c:pt>
                <c:pt idx="2">
                  <c:v>34863.484053799948</c:v>
                </c:pt>
                <c:pt idx="3">
                  <c:v>35687.497837034163</c:v>
                </c:pt>
                <c:pt idx="4">
                  <c:v>38437.661164663805</c:v>
                </c:pt>
                <c:pt idx="5">
                  <c:v>38703.25833920906</c:v>
                </c:pt>
                <c:pt idx="6">
                  <c:v>38570.675510326822</c:v>
                </c:pt>
                <c:pt idx="7">
                  <c:v>41604.608850118602</c:v>
                </c:pt>
                <c:pt idx="8">
                  <c:v>42904.700308706815</c:v>
                </c:pt>
                <c:pt idx="9">
                  <c:v>41379.046362317742</c:v>
                </c:pt>
                <c:pt idx="10">
                  <c:v>41451.257551407347</c:v>
                </c:pt>
                <c:pt idx="11">
                  <c:v>32355.241487089141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35A-4497-8079-2CF66F18047D}"/>
            </c:ext>
          </c:extLst>
        </c:ser>
        <c:ser>
          <c:idx val="1"/>
          <c:order val="4"/>
          <c:tx>
            <c:strRef>
              <c:f>'SC Performance Metrics'!$B$42</c:f>
              <c:strCache>
                <c:ptCount val="1"/>
                <c:pt idx="0">
                  <c:v>Logistics costs (Customs, Taxes &amp; Fees)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'SC Performance Metrics'!$G$42:$R$42</c:f>
              <c:numCache>
                <c:formatCode>#\ ##0.0\ " K€"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5A-4497-8079-2CF66F18047D}"/>
            </c:ext>
          </c:extLst>
        </c:ser>
        <c:ser>
          <c:idx val="2"/>
          <c:order val="5"/>
          <c:tx>
            <c:strRef>
              <c:f>'SC Performance Metrics'!$B$43</c:f>
              <c:strCache>
                <c:ptCount val="1"/>
                <c:pt idx="0">
                  <c:v>Logistics costs (Standard Transportation)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'SC Performance Metrics'!$G$43:$R$43</c:f>
              <c:numCache>
                <c:formatCode>#\ ##0.0\ " K€"</c:formatCode>
                <c:ptCount val="12"/>
                <c:pt idx="0">
                  <c:v>77415</c:v>
                </c:pt>
                <c:pt idx="1">
                  <c:v>132709</c:v>
                </c:pt>
                <c:pt idx="2">
                  <c:v>100766</c:v>
                </c:pt>
                <c:pt idx="3">
                  <c:v>95495</c:v>
                </c:pt>
                <c:pt idx="4">
                  <c:v>76847</c:v>
                </c:pt>
                <c:pt idx="5">
                  <c:v>107900</c:v>
                </c:pt>
                <c:pt idx="6">
                  <c:v>81354</c:v>
                </c:pt>
                <c:pt idx="7">
                  <c:v>31806</c:v>
                </c:pt>
                <c:pt idx="8">
                  <c:v>94138</c:v>
                </c:pt>
                <c:pt idx="9">
                  <c:v>77951</c:v>
                </c:pt>
                <c:pt idx="10">
                  <c:v>81896</c:v>
                </c:pt>
                <c:pt idx="11">
                  <c:v>51730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5A-4497-8079-2CF66F18047D}"/>
            </c:ext>
          </c:extLst>
        </c:ser>
        <c:ser>
          <c:idx val="3"/>
          <c:order val="6"/>
          <c:tx>
            <c:strRef>
              <c:f>'SC Performance Metrics'!$B$44</c:f>
              <c:strCache>
                <c:ptCount val="1"/>
                <c:pt idx="0">
                  <c:v>Logistics costs (Premium Freight)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'SC Performance Metrics'!$G$44:$R$44</c:f>
              <c:numCache>
                <c:formatCode>#\ ##0.0\ " K€"</c:formatCode>
                <c:ptCount val="12"/>
                <c:pt idx="0">
                  <c:v>31331</c:v>
                </c:pt>
                <c:pt idx="1">
                  <c:v>21746</c:v>
                </c:pt>
                <c:pt idx="2">
                  <c:v>27013</c:v>
                </c:pt>
                <c:pt idx="3">
                  <c:v>8886</c:v>
                </c:pt>
                <c:pt idx="4">
                  <c:v>12918</c:v>
                </c:pt>
                <c:pt idx="5">
                  <c:v>9561</c:v>
                </c:pt>
                <c:pt idx="6">
                  <c:v>14810</c:v>
                </c:pt>
                <c:pt idx="7">
                  <c:v>4717</c:v>
                </c:pt>
                <c:pt idx="8">
                  <c:v>6799</c:v>
                </c:pt>
                <c:pt idx="9">
                  <c:v>12981</c:v>
                </c:pt>
                <c:pt idx="10">
                  <c:v>8852</c:v>
                </c:pt>
                <c:pt idx="11">
                  <c:v>4610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5A-4497-8079-2CF66F180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339007"/>
        <c:axId val="41339423"/>
      </c:barChart>
      <c:lineChart>
        <c:grouping val="standard"/>
        <c:varyColors val="0"/>
        <c:ser>
          <c:idx val="6"/>
          <c:order val="7"/>
          <c:tx>
            <c:strRef>
              <c:f>'SC Performance Metrics'!$B$35</c:f>
              <c:strCache>
                <c:ptCount val="1"/>
                <c:pt idx="0">
                  <c:v>Logistics Costs %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ysClr val="window" lastClr="FFFFFF"/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'SC Performance Metrics'!$G$35:$R$35</c:f>
              <c:numCache>
                <c:formatCode>0.00%</c:formatCode>
                <c:ptCount val="12"/>
                <c:pt idx="0">
                  <c:v>4.22530585781535E-2</c:v>
                </c:pt>
                <c:pt idx="1">
                  <c:v>5.3825847833809878E-2</c:v>
                </c:pt>
                <c:pt idx="2">
                  <c:v>4.5264282032172858E-2</c:v>
                </c:pt>
                <c:pt idx="3">
                  <c:v>5.392473613247304E-2</c:v>
                </c:pt>
                <c:pt idx="4">
                  <c:v>5.2429409389289479E-2</c:v>
                </c:pt>
                <c:pt idx="5">
                  <c:v>5.2619754094604447E-2</c:v>
                </c:pt>
                <c:pt idx="6">
                  <c:v>5.6097825430562444E-2</c:v>
                </c:pt>
                <c:pt idx="7">
                  <c:v>4.5619075603373527E-2</c:v>
                </c:pt>
                <c:pt idx="8">
                  <c:v>4.8440455283051333E-2</c:v>
                </c:pt>
                <c:pt idx="9">
                  <c:v>8.0176811911573817E-2</c:v>
                </c:pt>
                <c:pt idx="10">
                  <c:v>6.5057822448224764E-2</c:v>
                </c:pt>
                <c:pt idx="11">
                  <c:v>6.1167549037047637E-2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B35A-4497-8079-2CF66F180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201999"/>
        <c:axId val="446203247"/>
      </c:lineChart>
      <c:catAx>
        <c:axId val="413390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339423"/>
        <c:crosses val="autoZero"/>
        <c:auto val="1"/>
        <c:lblAlgn val="ctr"/>
        <c:lblOffset val="100"/>
        <c:noMultiLvlLbl val="0"/>
      </c:catAx>
      <c:valAx>
        <c:axId val="4133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\ &quot; K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339007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</c:dispUnitsLbl>
        </c:dispUnits>
      </c:valAx>
      <c:valAx>
        <c:axId val="446203247"/>
        <c:scaling>
          <c:orientation val="minMax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46201999"/>
        <c:crosses val="max"/>
        <c:crossBetween val="between"/>
      </c:valAx>
      <c:catAx>
        <c:axId val="446201999"/>
        <c:scaling>
          <c:orientation val="minMax"/>
        </c:scaling>
        <c:delete val="1"/>
        <c:axPos val="b"/>
        <c:majorTickMark val="out"/>
        <c:minorTickMark val="none"/>
        <c:tickLblPos val="nextTo"/>
        <c:crossAx val="4462032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109200223151398E-2"/>
          <c:y val="0.75364808293103513"/>
          <c:w val="0.84280453369427888"/>
          <c:h val="0.213035159526931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400"/>
              <a:t>Supplier Perfect Oders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FFC000"/>
                </a:solidFill>
              </a:ln>
              <a:effectLst/>
            </c:spPr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'SC Performance Metrics'!$G$16:$R$16</c:f>
              <c:numCache>
                <c:formatCode>0.0%</c:formatCode>
                <c:ptCount val="12"/>
                <c:pt idx="0">
                  <c:v>0.97250361794500728</c:v>
                </c:pt>
                <c:pt idx="1">
                  <c:v>0.97538461538461541</c:v>
                </c:pt>
                <c:pt idx="2">
                  <c:v>0.98457223001402527</c:v>
                </c:pt>
                <c:pt idx="3">
                  <c:v>0.99484536082474229</c:v>
                </c:pt>
                <c:pt idx="4">
                  <c:v>0.98983739837398377</c:v>
                </c:pt>
                <c:pt idx="5">
                  <c:v>0.99350649350649356</c:v>
                </c:pt>
                <c:pt idx="6">
                  <c:v>0.99025341130604283</c:v>
                </c:pt>
                <c:pt idx="7">
                  <c:v>0.96888888888888891</c:v>
                </c:pt>
                <c:pt idx="8">
                  <c:v>0.99640933572710955</c:v>
                </c:pt>
                <c:pt idx="9">
                  <c:v>0.98645598194130923</c:v>
                </c:pt>
                <c:pt idx="10">
                  <c:v>0.99015748031496065</c:v>
                </c:pt>
                <c:pt idx="11">
                  <c:v>0.98241206030150752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1F2-4221-9BA7-589341500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020335"/>
        <c:axId val="576027407"/>
      </c:lineChart>
      <c:catAx>
        <c:axId val="5760203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76027407"/>
        <c:crosses val="autoZero"/>
        <c:auto val="1"/>
        <c:lblAlgn val="ctr"/>
        <c:lblOffset val="100"/>
        <c:noMultiLvlLbl val="0"/>
      </c:catAx>
      <c:valAx>
        <c:axId val="57602740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76020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rgbClr val="FFC000"/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/>
              <a:t>Distribution</a:t>
            </a:r>
            <a:r>
              <a:rPr lang="fr-FR" baseline="0"/>
              <a:t> OTIF (Receiving)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'SC Performance Metrics'!$G$21:$R$21</c:f>
              <c:numCache>
                <c:formatCode>0.0%</c:formatCode>
                <c:ptCount val="12"/>
                <c:pt idx="0">
                  <c:v>0.56055900621118004</c:v>
                </c:pt>
                <c:pt idx="1">
                  <c:v>0.6530014641288433</c:v>
                </c:pt>
                <c:pt idx="2">
                  <c:v>0.7120418848167539</c:v>
                </c:pt>
                <c:pt idx="3">
                  <c:v>0.61426256077795793</c:v>
                </c:pt>
                <c:pt idx="4">
                  <c:v>0.63440860215053763</c:v>
                </c:pt>
                <c:pt idx="5">
                  <c:v>0.71636952998379255</c:v>
                </c:pt>
                <c:pt idx="6">
                  <c:v>0.73544973544973546</c:v>
                </c:pt>
                <c:pt idx="7">
                  <c:v>0.62222222222222223</c:v>
                </c:pt>
                <c:pt idx="8">
                  <c:v>0.73145780051150888</c:v>
                </c:pt>
                <c:pt idx="9">
                  <c:v>0.7567567567567568</c:v>
                </c:pt>
                <c:pt idx="10">
                  <c:v>0.64806866952789699</c:v>
                </c:pt>
                <c:pt idx="11">
                  <c:v>0.71518987341772156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228-418C-994F-315BF2DD4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51071"/>
        <c:axId val="41351487"/>
      </c:lineChart>
      <c:catAx>
        <c:axId val="413510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351487"/>
        <c:crosses val="autoZero"/>
        <c:auto val="1"/>
        <c:lblAlgn val="ctr"/>
        <c:lblOffset val="100"/>
        <c:noMultiLvlLbl val="0"/>
      </c:catAx>
      <c:valAx>
        <c:axId val="4135148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351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400"/>
              <a:t>Purchasing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9849293065072557"/>
          <c:y val="7.7643981918295996E-2"/>
          <c:w val="0.62520473716267477"/>
          <c:h val="0.63623293048089014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'SC Performance Metrics'!$B$53</c:f>
              <c:strCache>
                <c:ptCount val="1"/>
                <c:pt idx="0">
                  <c:v>Purchasing costs R60260 (Packaging)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'SC Performance Metrics'!$G$53:$R$53</c:f>
              <c:numCache>
                <c:formatCode>#\ ##0.0\ " K€"</c:formatCode>
                <c:ptCount val="12"/>
                <c:pt idx="0">
                  <c:v>28454.97</c:v>
                </c:pt>
                <c:pt idx="1">
                  <c:v>23223.829000000002</c:v>
                </c:pt>
                <c:pt idx="2">
                  <c:v>29303.57</c:v>
                </c:pt>
                <c:pt idx="3">
                  <c:v>38378.519999999997</c:v>
                </c:pt>
                <c:pt idx="4">
                  <c:v>52637.8</c:v>
                </c:pt>
                <c:pt idx="5">
                  <c:v>27238.53</c:v>
                </c:pt>
                <c:pt idx="6">
                  <c:v>42361.15</c:v>
                </c:pt>
                <c:pt idx="7">
                  <c:v>13126.38</c:v>
                </c:pt>
                <c:pt idx="8">
                  <c:v>31475.01</c:v>
                </c:pt>
                <c:pt idx="9">
                  <c:v>23086.51</c:v>
                </c:pt>
                <c:pt idx="10">
                  <c:v>28652.2</c:v>
                </c:pt>
                <c:pt idx="11">
                  <c:v>15070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6-49F4-90CA-6F816BDBF51B}"/>
            </c:ext>
          </c:extLst>
        </c:ser>
        <c:ser>
          <c:idx val="5"/>
          <c:order val="1"/>
          <c:tx>
            <c:strRef>
              <c:f>'SC Performance Metrics'!$B$54</c:f>
              <c:strCache>
                <c:ptCount val="1"/>
                <c:pt idx="0">
                  <c:v>Purchasing costs R60410 (Sub-contracting)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'SC Performance Metrics'!$G$54:$R$54</c:f>
              <c:numCache>
                <c:formatCode>#\ ##0.0\ " K€"</c:formatCode>
                <c:ptCount val="12"/>
                <c:pt idx="0">
                  <c:v>308270.34999999998</c:v>
                </c:pt>
                <c:pt idx="1">
                  <c:v>478634.46085733298</c:v>
                </c:pt>
                <c:pt idx="2">
                  <c:v>471151.53600000101</c:v>
                </c:pt>
                <c:pt idx="3">
                  <c:v>478882.01899999997</c:v>
                </c:pt>
                <c:pt idx="4">
                  <c:v>488061.174999999</c:v>
                </c:pt>
                <c:pt idx="5">
                  <c:v>549580.73899999994</c:v>
                </c:pt>
                <c:pt idx="6">
                  <c:v>518336.56199999998</c:v>
                </c:pt>
                <c:pt idx="7">
                  <c:v>252086.8</c:v>
                </c:pt>
                <c:pt idx="8">
                  <c:v>488150.35700000002</c:v>
                </c:pt>
                <c:pt idx="9">
                  <c:v>369897.82299999997</c:v>
                </c:pt>
                <c:pt idx="10">
                  <c:v>208089.27600000001</c:v>
                </c:pt>
                <c:pt idx="11">
                  <c:v>114042.65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6-49F4-90CA-6F816BDBF51B}"/>
            </c:ext>
          </c:extLst>
        </c:ser>
        <c:ser>
          <c:idx val="0"/>
          <c:order val="2"/>
          <c:tx>
            <c:strRef>
              <c:f>'SC Performance Metrics'!$B$52</c:f>
              <c:strCache>
                <c:ptCount val="1"/>
                <c:pt idx="0">
                  <c:v>Purchasing costs R60230 (Oils)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'SC Performance Metrics'!$G$52:$R$52</c:f>
              <c:numCache>
                <c:formatCode>#\ ##0.0\ " K€"</c:formatCode>
                <c:ptCount val="12"/>
                <c:pt idx="0">
                  <c:v>28362.16</c:v>
                </c:pt>
                <c:pt idx="1">
                  <c:v>16317.35</c:v>
                </c:pt>
                <c:pt idx="2">
                  <c:v>27073</c:v>
                </c:pt>
                <c:pt idx="3">
                  <c:v>51577.08</c:v>
                </c:pt>
                <c:pt idx="4">
                  <c:v>20917.3</c:v>
                </c:pt>
                <c:pt idx="5">
                  <c:v>35329.35</c:v>
                </c:pt>
                <c:pt idx="6">
                  <c:v>24488</c:v>
                </c:pt>
                <c:pt idx="7">
                  <c:v>686.4</c:v>
                </c:pt>
                <c:pt idx="8">
                  <c:v>41046.22</c:v>
                </c:pt>
                <c:pt idx="9">
                  <c:v>16126.3</c:v>
                </c:pt>
                <c:pt idx="10">
                  <c:v>15326.7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56-49F4-90CA-6F816BDBF51B}"/>
            </c:ext>
          </c:extLst>
        </c:ser>
        <c:ser>
          <c:idx val="1"/>
          <c:order val="3"/>
          <c:tx>
            <c:strRef>
              <c:f>'SC Performance Metrics'!$B$55</c:f>
              <c:strCache>
                <c:ptCount val="1"/>
                <c:pt idx="0">
                  <c:v>Purchasing costs R60500 (Components)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'SC Performance Metrics'!$G$55:$R$55</c:f>
              <c:numCache>
                <c:formatCode>#\ ##0.0\ " K€"</c:formatCode>
                <c:ptCount val="12"/>
                <c:pt idx="0">
                  <c:v>404060.10100000002</c:v>
                </c:pt>
                <c:pt idx="1">
                  <c:v>364422.00900000002</c:v>
                </c:pt>
                <c:pt idx="2">
                  <c:v>250654.16099999999</c:v>
                </c:pt>
                <c:pt idx="3">
                  <c:v>288293.93400000001</c:v>
                </c:pt>
                <c:pt idx="4">
                  <c:v>178294.29800000001</c:v>
                </c:pt>
                <c:pt idx="5">
                  <c:v>264146.48</c:v>
                </c:pt>
                <c:pt idx="6">
                  <c:v>387386.21100000001</c:v>
                </c:pt>
                <c:pt idx="7">
                  <c:v>38003.65</c:v>
                </c:pt>
                <c:pt idx="8">
                  <c:v>234045.57199999999</c:v>
                </c:pt>
                <c:pt idx="9">
                  <c:v>106213.685</c:v>
                </c:pt>
                <c:pt idx="10">
                  <c:v>101606.18</c:v>
                </c:pt>
                <c:pt idx="11">
                  <c:v>36449.14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56-49F4-90CA-6F816BDBF51B}"/>
            </c:ext>
          </c:extLst>
        </c:ser>
        <c:ser>
          <c:idx val="2"/>
          <c:order val="4"/>
          <c:tx>
            <c:strRef>
              <c:f>'SC Performance Metrics'!$B$51</c:f>
              <c:strCache>
                <c:ptCount val="1"/>
                <c:pt idx="0">
                  <c:v>Purchasing costs R60200 (Expendable)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'SC Performance Metrics'!$G$51:$R$51</c:f>
              <c:numCache>
                <c:formatCode>#\ ##0.0\ " K€"</c:formatCode>
                <c:ptCount val="12"/>
                <c:pt idx="0">
                  <c:v>4392.43</c:v>
                </c:pt>
                <c:pt idx="1">
                  <c:v>8767.69</c:v>
                </c:pt>
                <c:pt idx="2">
                  <c:v>4306.41</c:v>
                </c:pt>
                <c:pt idx="3">
                  <c:v>486.07</c:v>
                </c:pt>
                <c:pt idx="4">
                  <c:v>5203.88</c:v>
                </c:pt>
                <c:pt idx="5">
                  <c:v>7516.5</c:v>
                </c:pt>
                <c:pt idx="6">
                  <c:v>3530.12</c:v>
                </c:pt>
                <c:pt idx="7">
                  <c:v>709.51</c:v>
                </c:pt>
                <c:pt idx="8">
                  <c:v>5666.11</c:v>
                </c:pt>
                <c:pt idx="9">
                  <c:v>9716.6299999999992</c:v>
                </c:pt>
                <c:pt idx="10">
                  <c:v>3525.84</c:v>
                </c:pt>
                <c:pt idx="11">
                  <c:v>578.25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56-49F4-90CA-6F816BDBF51B}"/>
            </c:ext>
          </c:extLst>
        </c:ser>
        <c:ser>
          <c:idx val="3"/>
          <c:order val="5"/>
          <c:tx>
            <c:strRef>
              <c:f>'SC Performance Metrics'!$B$50</c:f>
              <c:strCache>
                <c:ptCount val="1"/>
                <c:pt idx="0">
                  <c:v>Purchasing costs R60100 (Raw Materials)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'SC Performance Metrics'!$G$50:$R$50</c:f>
              <c:numCache>
                <c:formatCode>#\ ##0.0\ " K€"</c:formatCode>
                <c:ptCount val="12"/>
                <c:pt idx="0">
                  <c:v>545369.9</c:v>
                </c:pt>
                <c:pt idx="1">
                  <c:v>723972.08499999996</c:v>
                </c:pt>
                <c:pt idx="2">
                  <c:v>857755.18500000006</c:v>
                </c:pt>
                <c:pt idx="3">
                  <c:v>867652.55500000005</c:v>
                </c:pt>
                <c:pt idx="4">
                  <c:v>738513.17</c:v>
                </c:pt>
                <c:pt idx="5">
                  <c:v>760807.89</c:v>
                </c:pt>
                <c:pt idx="6">
                  <c:v>529891.99100000004</c:v>
                </c:pt>
                <c:pt idx="7">
                  <c:v>136437.97</c:v>
                </c:pt>
                <c:pt idx="8">
                  <c:v>971390.35</c:v>
                </c:pt>
                <c:pt idx="9">
                  <c:v>453121.78</c:v>
                </c:pt>
                <c:pt idx="10">
                  <c:v>339856.89</c:v>
                </c:pt>
                <c:pt idx="11">
                  <c:v>153078.98000000001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56-49F4-90CA-6F816BDBF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339007"/>
        <c:axId val="41339423"/>
      </c:barChart>
      <c:lineChart>
        <c:grouping val="standard"/>
        <c:varyColors val="0"/>
        <c:ser>
          <c:idx val="6"/>
          <c:order val="6"/>
          <c:tx>
            <c:strRef>
              <c:f>'SC Performance Metrics'!$B$49</c:f>
              <c:strCache>
                <c:ptCount val="1"/>
                <c:pt idx="0">
                  <c:v>Purchasing Costs %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ysClr val="window" lastClr="FFFFFF"/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'SC Performance Metrics'!$G$49:$R$49</c:f>
              <c:numCache>
                <c:formatCode>0.00%</c:formatCode>
                <c:ptCount val="12"/>
                <c:pt idx="0">
                  <c:v>0.23267374166292512</c:v>
                </c:pt>
                <c:pt idx="1">
                  <c:v>0.30372015037315686</c:v>
                </c:pt>
                <c:pt idx="2">
                  <c:v>0.28587834855801381</c:v>
                </c:pt>
                <c:pt idx="3">
                  <c:v>0.39233230347791281</c:v>
                </c:pt>
                <c:pt idx="4">
                  <c:v>0.34530506922489584</c:v>
                </c:pt>
                <c:pt idx="5">
                  <c:v>0.34722977910711289</c:v>
                </c:pt>
                <c:pt idx="6">
                  <c:v>0.37086690793762167</c:v>
                </c:pt>
                <c:pt idx="7">
                  <c:v>0.11753102748176922</c:v>
                </c:pt>
                <c:pt idx="8">
                  <c:v>0.36227714508778008</c:v>
                </c:pt>
                <c:pt idx="9">
                  <c:v>0.35071727535057223</c:v>
                </c:pt>
                <c:pt idx="10">
                  <c:v>0.20290011747478651</c:v>
                </c:pt>
                <c:pt idx="11">
                  <c:v>0.1084768426777679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D456-49F4-90CA-6F816BDBF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201999"/>
        <c:axId val="446203247"/>
      </c:lineChart>
      <c:catAx>
        <c:axId val="413390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339423"/>
        <c:crosses val="autoZero"/>
        <c:auto val="1"/>
        <c:lblAlgn val="ctr"/>
        <c:lblOffset val="100"/>
        <c:noMultiLvlLbl val="0"/>
      </c:catAx>
      <c:valAx>
        <c:axId val="4133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\ &quot; K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339007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</c:dispUnitsLbl>
        </c:dispUnits>
      </c:valAx>
      <c:valAx>
        <c:axId val="446203247"/>
        <c:scaling>
          <c:orientation val="minMax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46201999"/>
        <c:crosses val="max"/>
        <c:crossBetween val="between"/>
      </c:valAx>
      <c:catAx>
        <c:axId val="446201999"/>
        <c:scaling>
          <c:orientation val="minMax"/>
        </c:scaling>
        <c:delete val="1"/>
        <c:axPos val="b"/>
        <c:majorTickMark val="out"/>
        <c:minorTickMark val="none"/>
        <c:tickLblPos val="nextTo"/>
        <c:crossAx val="4462032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0867465132268E-2"/>
          <c:y val="0.75844556760504434"/>
          <c:w val="0.91219608735309043"/>
          <c:h val="0.218058734922330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9839</xdr:colOff>
      <xdr:row>72</xdr:row>
      <xdr:rowOff>206011</xdr:rowOff>
    </xdr:from>
    <xdr:to>
      <xdr:col>10</xdr:col>
      <xdr:colOff>0</xdr:colOff>
      <xdr:row>100</xdr:row>
      <xdr:rowOff>195943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FCD5604F-EDB2-4719-B85D-22941284DA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24742</xdr:colOff>
      <xdr:row>73</xdr:row>
      <xdr:rowOff>15775</xdr:rowOff>
    </xdr:from>
    <xdr:to>
      <xdr:col>1</xdr:col>
      <xdr:colOff>2841172</xdr:colOff>
      <xdr:row>87</xdr:row>
      <xdr:rowOff>1922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E917A62F-84BD-4D47-874E-FCD82859F0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39093</xdr:colOff>
      <xdr:row>87</xdr:row>
      <xdr:rowOff>6811</xdr:rowOff>
    </xdr:from>
    <xdr:to>
      <xdr:col>1</xdr:col>
      <xdr:colOff>2830286</xdr:colOff>
      <xdr:row>100</xdr:row>
      <xdr:rowOff>173068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B9A2AEFA-E73F-442B-97A6-F12F1A8649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726143</xdr:colOff>
      <xdr:row>72</xdr:row>
      <xdr:rowOff>200221</xdr:rowOff>
    </xdr:from>
    <xdr:to>
      <xdr:col>13</xdr:col>
      <xdr:colOff>718458</xdr:colOff>
      <xdr:row>101</xdr:row>
      <xdr:rowOff>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5500A9F5-04B3-4C0D-9648-D8D5D182C9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8561</xdr:colOff>
      <xdr:row>101</xdr:row>
      <xdr:rowOff>1</xdr:rowOff>
    </xdr:from>
    <xdr:to>
      <xdr:col>9</xdr:col>
      <xdr:colOff>726143</xdr:colOff>
      <xdr:row>120</xdr:row>
      <xdr:rowOff>10886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EF349933-91E1-4F57-9E22-E61C6B5356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722054</xdr:colOff>
      <xdr:row>72</xdr:row>
      <xdr:rowOff>203418</xdr:rowOff>
    </xdr:from>
    <xdr:to>
      <xdr:col>19</xdr:col>
      <xdr:colOff>10886</xdr:colOff>
      <xdr:row>106</xdr:row>
      <xdr:rowOff>17929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77FA4E93-8A2C-4599-BB19-B096F0ED20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13328</xdr:colOff>
      <xdr:row>73</xdr:row>
      <xdr:rowOff>25033</xdr:rowOff>
    </xdr:from>
    <xdr:to>
      <xdr:col>5</xdr:col>
      <xdr:colOff>772886</xdr:colOff>
      <xdr:row>86</xdr:row>
      <xdr:rowOff>195943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9BF1A829-B310-4F6A-82D8-375B1333C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87</xdr:row>
      <xdr:rowOff>8092</xdr:rowOff>
    </xdr:from>
    <xdr:to>
      <xdr:col>6</xdr:col>
      <xdr:colOff>10885</xdr:colOff>
      <xdr:row>101</xdr:row>
      <xdr:rowOff>0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802BE8F6-2B3C-4184-8925-5154353F0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18686</xdr:colOff>
      <xdr:row>72</xdr:row>
      <xdr:rowOff>205599</xdr:rowOff>
    </xdr:from>
    <xdr:to>
      <xdr:col>23</xdr:col>
      <xdr:colOff>591670</xdr:colOff>
      <xdr:row>106</xdr:row>
      <xdr:rowOff>17928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21D8A7E8-5CC4-4079-A62A-3CB5D9540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3030</xdr:colOff>
      <xdr:row>100</xdr:row>
      <xdr:rowOff>203684</xdr:rowOff>
    </xdr:from>
    <xdr:to>
      <xdr:col>13</xdr:col>
      <xdr:colOff>726141</xdr:colOff>
      <xdr:row>120</xdr:row>
      <xdr:rowOff>10887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92C2827-83CA-4945-A610-580929B7DE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10885</xdr:colOff>
      <xdr:row>101</xdr:row>
      <xdr:rowOff>10885</xdr:rowOff>
    </xdr:from>
    <xdr:to>
      <xdr:col>1</xdr:col>
      <xdr:colOff>2827315</xdr:colOff>
      <xdr:row>114</xdr:row>
      <xdr:rowOff>203860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D228DFD7-5429-4A51-89F2-5D797E035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21772</xdr:colOff>
      <xdr:row>101</xdr:row>
      <xdr:rowOff>10885</xdr:rowOff>
    </xdr:from>
    <xdr:to>
      <xdr:col>6</xdr:col>
      <xdr:colOff>32657</xdr:colOff>
      <xdr:row>115</xdr:row>
      <xdr:rowOff>2793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DD948D8A-ED64-4DBC-92C5-84E7953B8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61E98-C870-447A-959C-48F63395A732}">
  <dimension ref="A1:R69"/>
  <sheetViews>
    <sheetView tabSelected="1" zoomScaleNormal="100" workbookViewId="0">
      <selection activeCell="F16" sqref="F16"/>
    </sheetView>
  </sheetViews>
  <sheetFormatPr baseColWidth="10" defaultColWidth="11.5546875" defaultRowHeight="14.4" outlineLevelCol="1" x14ac:dyDescent="0.3"/>
  <cols>
    <col min="1" max="1" width="5.5546875" style="1" customWidth="1"/>
    <col min="2" max="2" width="41.5546875" style="1" bestFit="1" customWidth="1"/>
    <col min="3" max="3" width="12.21875" style="8" customWidth="1"/>
    <col min="4" max="4" width="52.6640625" style="1" customWidth="1" outlineLevel="1"/>
    <col min="5" max="5" width="11.44140625" style="1" customWidth="1"/>
    <col min="6" max="6" width="11.44140625" style="6" customWidth="1"/>
    <col min="7" max="18" width="10.6640625" style="1" customWidth="1"/>
    <col min="19" max="16384" width="11.5546875" style="1"/>
  </cols>
  <sheetData>
    <row r="1" spans="1:18" ht="16.8" thickBot="1" x14ac:dyDescent="0.35">
      <c r="A1" s="3" t="s">
        <v>0</v>
      </c>
      <c r="B1" s="26" t="s">
        <v>1</v>
      </c>
      <c r="C1" s="27" t="s">
        <v>84</v>
      </c>
      <c r="D1" s="28" t="s">
        <v>2</v>
      </c>
      <c r="E1" s="10" t="s">
        <v>24</v>
      </c>
      <c r="F1" s="9" t="s">
        <v>34</v>
      </c>
      <c r="G1" s="29">
        <v>1</v>
      </c>
      <c r="H1" s="30">
        <v>2</v>
      </c>
      <c r="I1" s="30">
        <v>3</v>
      </c>
      <c r="J1" s="30">
        <v>4</v>
      </c>
      <c r="K1" s="30">
        <v>5</v>
      </c>
      <c r="L1" s="30">
        <v>6</v>
      </c>
      <c r="M1" s="30">
        <v>7</v>
      </c>
      <c r="N1" s="30">
        <v>8</v>
      </c>
      <c r="O1" s="30">
        <v>9</v>
      </c>
      <c r="P1" s="30">
        <v>10</v>
      </c>
      <c r="Q1" s="30">
        <v>11</v>
      </c>
      <c r="R1" s="31">
        <v>12</v>
      </c>
    </row>
    <row r="2" spans="1:18" x14ac:dyDescent="0.3">
      <c r="A2" s="140">
        <v>1</v>
      </c>
      <c r="B2" s="32" t="s">
        <v>53</v>
      </c>
      <c r="C2" s="34"/>
      <c r="D2" s="36" t="s">
        <v>15</v>
      </c>
      <c r="E2" s="45"/>
      <c r="F2" s="46">
        <f>SUM(G2:R2)</f>
        <v>52026275.909400053</v>
      </c>
      <c r="G2" s="46">
        <f t="shared" ref="G2:R2" si="0">SUM(G4:G4)</f>
        <v>5668494.8700000159</v>
      </c>
      <c r="H2" s="46">
        <f t="shared" si="0"/>
        <v>5318505.9400000162</v>
      </c>
      <c r="I2" s="46">
        <f t="shared" si="0"/>
        <v>5737558.8962000161</v>
      </c>
      <c r="J2" s="46">
        <f t="shared" si="0"/>
        <v>4397471.6400000127</v>
      </c>
      <c r="K2" s="46">
        <f t="shared" si="0"/>
        <v>4296570.6421000101</v>
      </c>
      <c r="L2" s="46">
        <f t="shared" si="0"/>
        <v>4736401.0460999962</v>
      </c>
      <c r="M2" s="46">
        <f t="shared" si="0"/>
        <v>4060739.8550999924</v>
      </c>
      <c r="N2" s="46">
        <f t="shared" si="0"/>
        <v>3752632.129999999</v>
      </c>
      <c r="O2" s="46">
        <f t="shared" si="0"/>
        <v>4890658.003200002</v>
      </c>
      <c r="P2" s="46">
        <f t="shared" si="0"/>
        <v>2789034.9199999971</v>
      </c>
      <c r="Q2" s="46">
        <f t="shared" si="0"/>
        <v>3435469.1099999994</v>
      </c>
      <c r="R2" s="47">
        <f t="shared" si="0"/>
        <v>2942738.8566999957</v>
      </c>
    </row>
    <row r="3" spans="1:18" x14ac:dyDescent="0.3">
      <c r="A3" s="141">
        <v>2</v>
      </c>
      <c r="B3" s="33" t="s">
        <v>54</v>
      </c>
      <c r="C3" s="35"/>
      <c r="D3" s="4"/>
      <c r="E3" s="48"/>
      <c r="F3" s="49">
        <f>SUM(G3:R3)</f>
        <v>77103017.231300041</v>
      </c>
      <c r="G3" s="50">
        <v>6290758.4700000007</v>
      </c>
      <c r="H3" s="50">
        <v>7635995.4700000025</v>
      </c>
      <c r="I3" s="50">
        <v>8426865.930000009</v>
      </c>
      <c r="J3" s="50">
        <v>7667179.4800000004</v>
      </c>
      <c r="K3" s="50">
        <v>8780860.1948000081</v>
      </c>
      <c r="L3" s="50">
        <v>8043193.2814000119</v>
      </c>
      <c r="M3" s="50">
        <v>6912356.6881999979</v>
      </c>
      <c r="N3" s="50">
        <v>1795188.0146000006</v>
      </c>
      <c r="O3" s="50">
        <v>6604172.7070000041</v>
      </c>
      <c r="P3" s="50">
        <v>8035262.2894000076</v>
      </c>
      <c r="Q3" s="50">
        <v>4168419.9582999991</v>
      </c>
      <c r="R3" s="51">
        <v>2742764.7475999976</v>
      </c>
    </row>
    <row r="4" spans="1:18" x14ac:dyDescent="0.3">
      <c r="A4" s="141">
        <v>2</v>
      </c>
      <c r="B4" s="33" t="s">
        <v>55</v>
      </c>
      <c r="C4" s="35"/>
      <c r="D4" s="4"/>
      <c r="E4" s="48"/>
      <c r="F4" s="49">
        <f>SUM(G4:R4)</f>
        <v>52026275.909400053</v>
      </c>
      <c r="G4" s="50">
        <v>5668494.8700000159</v>
      </c>
      <c r="H4" s="50">
        <v>5318505.9400000162</v>
      </c>
      <c r="I4" s="50">
        <v>5737558.8962000161</v>
      </c>
      <c r="J4" s="50">
        <v>4397471.6400000127</v>
      </c>
      <c r="K4" s="50">
        <v>4296570.6421000101</v>
      </c>
      <c r="L4" s="50">
        <v>4736401.0460999962</v>
      </c>
      <c r="M4" s="50">
        <v>4060739.8550999924</v>
      </c>
      <c r="N4" s="50">
        <v>3752632.129999999</v>
      </c>
      <c r="O4" s="50">
        <v>4890658.003200002</v>
      </c>
      <c r="P4" s="50">
        <v>2789034.9199999971</v>
      </c>
      <c r="Q4" s="50">
        <v>3435469.1099999994</v>
      </c>
      <c r="R4" s="51">
        <v>2942738.8566999957</v>
      </c>
    </row>
    <row r="5" spans="1:18" x14ac:dyDescent="0.3">
      <c r="A5" s="141">
        <v>2</v>
      </c>
      <c r="B5" s="33" t="s">
        <v>70</v>
      </c>
      <c r="C5" s="35"/>
      <c r="D5" s="4" t="s">
        <v>58</v>
      </c>
      <c r="E5" s="48"/>
      <c r="F5" s="52">
        <f>SUM(G5:R5)</f>
        <v>288655</v>
      </c>
      <c r="G5" s="53">
        <v>6234</v>
      </c>
      <c r="H5" s="54">
        <v>3091</v>
      </c>
      <c r="I5" s="54">
        <v>75586</v>
      </c>
      <c r="J5" s="54">
        <v>0</v>
      </c>
      <c r="K5" s="54">
        <v>4758</v>
      </c>
      <c r="L5" s="54">
        <v>131043</v>
      </c>
      <c r="M5" s="54">
        <v>22850</v>
      </c>
      <c r="N5" s="54">
        <v>34424</v>
      </c>
      <c r="O5" s="54">
        <v>26</v>
      </c>
      <c r="P5" s="54">
        <v>0</v>
      </c>
      <c r="Q5" s="54">
        <v>10293</v>
      </c>
      <c r="R5" s="55">
        <v>350</v>
      </c>
    </row>
    <row r="6" spans="1:18" x14ac:dyDescent="0.3">
      <c r="A6" s="141">
        <v>2</v>
      </c>
      <c r="B6" s="133" t="s">
        <v>56</v>
      </c>
      <c r="C6" s="35"/>
      <c r="D6" s="4"/>
      <c r="E6" s="48"/>
      <c r="F6" s="49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7"/>
    </row>
    <row r="7" spans="1:18" ht="15" thickBot="1" x14ac:dyDescent="0.35">
      <c r="A7" s="150">
        <v>2</v>
      </c>
      <c r="B7" s="151" t="s">
        <v>57</v>
      </c>
      <c r="C7" s="152"/>
      <c r="D7" s="153"/>
      <c r="E7" s="154"/>
      <c r="F7" s="155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7"/>
    </row>
    <row r="8" spans="1:18" x14ac:dyDescent="0.3">
      <c r="A8" s="163">
        <v>1</v>
      </c>
      <c r="B8" s="164" t="s">
        <v>45</v>
      </c>
      <c r="C8" s="165"/>
      <c r="D8" s="166" t="s">
        <v>17</v>
      </c>
      <c r="E8" s="74">
        <v>0.995</v>
      </c>
      <c r="F8" s="74">
        <f t="shared" ref="F8" si="1">IFERROR(1-(F10+F11)/F9,0)</f>
        <v>0.98533192197187358</v>
      </c>
      <c r="G8" s="74">
        <f>IFERROR(1-(G10+G11)/G9,0)</f>
        <v>0.97250361794500728</v>
      </c>
      <c r="H8" s="74">
        <f t="shared" ref="H8:R8" si="2">IFERROR(1-(H10+H11)/H9,0)</f>
        <v>0.97538461538461541</v>
      </c>
      <c r="I8" s="74">
        <f t="shared" si="2"/>
        <v>0.98457223001402527</v>
      </c>
      <c r="J8" s="74">
        <f t="shared" si="2"/>
        <v>0.99484536082474229</v>
      </c>
      <c r="K8" s="74">
        <f t="shared" si="2"/>
        <v>0.98983739837398377</v>
      </c>
      <c r="L8" s="74">
        <f t="shared" si="2"/>
        <v>0.99350649350649356</v>
      </c>
      <c r="M8" s="74">
        <f t="shared" si="2"/>
        <v>0.99025341130604283</v>
      </c>
      <c r="N8" s="74">
        <f t="shared" si="2"/>
        <v>0.96888888888888891</v>
      </c>
      <c r="O8" s="74">
        <f t="shared" si="2"/>
        <v>0.99640933572710955</v>
      </c>
      <c r="P8" s="74">
        <f t="shared" si="2"/>
        <v>0.98645598194130923</v>
      </c>
      <c r="Q8" s="74">
        <f t="shared" si="2"/>
        <v>0.99015748031496065</v>
      </c>
      <c r="R8" s="72">
        <f t="shared" si="2"/>
        <v>0.98241206030150752</v>
      </c>
    </row>
    <row r="9" spans="1:18" x14ac:dyDescent="0.3">
      <c r="A9" s="167">
        <v>4</v>
      </c>
      <c r="B9" s="2" t="s">
        <v>23</v>
      </c>
      <c r="C9" s="159"/>
      <c r="D9" s="2"/>
      <c r="E9" s="160"/>
      <c r="F9" s="161">
        <f>SUM(G9:R9)</f>
        <v>6613</v>
      </c>
      <c r="G9" s="63">
        <v>691</v>
      </c>
      <c r="H9" s="63">
        <v>650</v>
      </c>
      <c r="I9" s="63">
        <v>713</v>
      </c>
      <c r="J9" s="63">
        <v>582</v>
      </c>
      <c r="K9" s="63">
        <v>492</v>
      </c>
      <c r="L9" s="63">
        <v>616</v>
      </c>
      <c r="M9" s="63">
        <v>513</v>
      </c>
      <c r="N9" s="63">
        <v>450</v>
      </c>
      <c r="O9" s="63">
        <v>557</v>
      </c>
      <c r="P9" s="63">
        <v>443</v>
      </c>
      <c r="Q9" s="63">
        <v>508</v>
      </c>
      <c r="R9" s="64">
        <v>398</v>
      </c>
    </row>
    <row r="10" spans="1:18" x14ac:dyDescent="0.3">
      <c r="A10" s="167">
        <v>2</v>
      </c>
      <c r="B10" s="2" t="s">
        <v>25</v>
      </c>
      <c r="C10" s="162"/>
      <c r="D10" s="2" t="s">
        <v>16</v>
      </c>
      <c r="E10" s="160"/>
      <c r="F10" s="161">
        <f>SUM(G10:R10)</f>
        <v>85</v>
      </c>
      <c r="G10" s="63">
        <v>18</v>
      </c>
      <c r="H10" s="63">
        <v>15</v>
      </c>
      <c r="I10" s="63">
        <v>10</v>
      </c>
      <c r="J10" s="63">
        <v>2</v>
      </c>
      <c r="K10" s="63">
        <v>4</v>
      </c>
      <c r="L10" s="63">
        <v>3</v>
      </c>
      <c r="M10" s="63">
        <v>4</v>
      </c>
      <c r="N10" s="63">
        <v>13</v>
      </c>
      <c r="O10" s="63">
        <v>1</v>
      </c>
      <c r="P10" s="63">
        <v>5</v>
      </c>
      <c r="Q10" s="63">
        <v>4</v>
      </c>
      <c r="R10" s="64">
        <v>6</v>
      </c>
    </row>
    <row r="11" spans="1:18" x14ac:dyDescent="0.3">
      <c r="A11" s="167">
        <v>2</v>
      </c>
      <c r="B11" s="2" t="s">
        <v>49</v>
      </c>
      <c r="C11" s="162"/>
      <c r="D11" s="2" t="s">
        <v>59</v>
      </c>
      <c r="E11" s="160"/>
      <c r="F11" s="161">
        <f>SUM(G11:R11)</f>
        <v>12</v>
      </c>
      <c r="G11" s="63">
        <v>1</v>
      </c>
      <c r="H11" s="63">
        <v>1</v>
      </c>
      <c r="I11" s="63">
        <v>1</v>
      </c>
      <c r="J11" s="63">
        <v>1</v>
      </c>
      <c r="K11" s="63">
        <v>1</v>
      </c>
      <c r="L11" s="63">
        <v>1</v>
      </c>
      <c r="M11" s="63">
        <v>1</v>
      </c>
      <c r="N11" s="63">
        <v>1</v>
      </c>
      <c r="O11" s="63">
        <v>1</v>
      </c>
      <c r="P11" s="63">
        <v>1</v>
      </c>
      <c r="Q11" s="63">
        <v>1</v>
      </c>
      <c r="R11" s="64">
        <v>1</v>
      </c>
    </row>
    <row r="12" spans="1:18" ht="15" thickBot="1" x14ac:dyDescent="0.35">
      <c r="A12" s="168">
        <v>2</v>
      </c>
      <c r="B12" s="5" t="s">
        <v>9</v>
      </c>
      <c r="C12" s="169"/>
      <c r="D12" s="5" t="s">
        <v>21</v>
      </c>
      <c r="E12" s="170"/>
      <c r="F12" s="171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8"/>
    </row>
    <row r="13" spans="1:18" x14ac:dyDescent="0.3">
      <c r="A13" s="142">
        <v>1</v>
      </c>
      <c r="B13" s="15" t="s">
        <v>6</v>
      </c>
      <c r="C13" s="25"/>
      <c r="D13" s="22" t="s">
        <v>19</v>
      </c>
      <c r="E13" s="158">
        <v>0.7</v>
      </c>
      <c r="F13" s="58">
        <f>IFERROR(1-(F15)/F14,0)</f>
        <v>0.67103448275862076</v>
      </c>
      <c r="G13" s="59">
        <f t="shared" ref="G13:R13" si="3">IFERROR(1-(G15)/G14,0)</f>
        <v>0.56055900621118004</v>
      </c>
      <c r="H13" s="60">
        <f t="shared" si="3"/>
        <v>0.6530014641288433</v>
      </c>
      <c r="I13" s="60">
        <f t="shared" si="3"/>
        <v>0.7120418848167539</v>
      </c>
      <c r="J13" s="60">
        <f t="shared" si="3"/>
        <v>0.61426256077795793</v>
      </c>
      <c r="K13" s="60">
        <f t="shared" si="3"/>
        <v>0.63440860215053763</v>
      </c>
      <c r="L13" s="60">
        <f t="shared" si="3"/>
        <v>0.71636952998379255</v>
      </c>
      <c r="M13" s="60">
        <f t="shared" si="3"/>
        <v>0.73544973544973546</v>
      </c>
      <c r="N13" s="60">
        <f t="shared" si="3"/>
        <v>0.62222222222222223</v>
      </c>
      <c r="O13" s="60">
        <f t="shared" si="3"/>
        <v>0.73145780051150888</v>
      </c>
      <c r="P13" s="60">
        <f t="shared" si="3"/>
        <v>0.7567567567567568</v>
      </c>
      <c r="Q13" s="60">
        <f t="shared" si="3"/>
        <v>0.64806866952789699</v>
      </c>
      <c r="R13" s="58">
        <f t="shared" si="3"/>
        <v>0.71518987341772156</v>
      </c>
    </row>
    <row r="14" spans="1:18" x14ac:dyDescent="0.3">
      <c r="A14" s="141">
        <v>2</v>
      </c>
      <c r="B14" s="12" t="s">
        <v>48</v>
      </c>
      <c r="C14" s="20"/>
      <c r="D14" s="7"/>
      <c r="E14" s="65"/>
      <c r="F14" s="61">
        <f>SUM(G14:R14)</f>
        <v>5800</v>
      </c>
      <c r="G14" s="62">
        <v>644</v>
      </c>
      <c r="H14" s="63">
        <v>683</v>
      </c>
      <c r="I14" s="63">
        <v>764</v>
      </c>
      <c r="J14" s="63">
        <v>617</v>
      </c>
      <c r="K14" s="63">
        <v>744</v>
      </c>
      <c r="L14" s="63">
        <v>617</v>
      </c>
      <c r="M14" s="63">
        <v>378</v>
      </c>
      <c r="N14" s="63">
        <v>90</v>
      </c>
      <c r="O14" s="63">
        <v>391</v>
      </c>
      <c r="P14" s="63">
        <v>481</v>
      </c>
      <c r="Q14" s="63">
        <v>233</v>
      </c>
      <c r="R14" s="64">
        <v>158</v>
      </c>
    </row>
    <row r="15" spans="1:18" ht="15" thickBot="1" x14ac:dyDescent="0.35">
      <c r="A15" s="150">
        <v>2</v>
      </c>
      <c r="B15" s="14" t="s">
        <v>35</v>
      </c>
      <c r="C15" s="172"/>
      <c r="D15" s="24"/>
      <c r="E15" s="66"/>
      <c r="F15" s="67">
        <f>SUM(G15:R15)</f>
        <v>1908</v>
      </c>
      <c r="G15" s="68">
        <v>283</v>
      </c>
      <c r="H15" s="69">
        <v>237</v>
      </c>
      <c r="I15" s="69">
        <v>220</v>
      </c>
      <c r="J15" s="69">
        <v>238</v>
      </c>
      <c r="K15" s="69">
        <v>272</v>
      </c>
      <c r="L15" s="69">
        <v>175</v>
      </c>
      <c r="M15" s="69">
        <v>100</v>
      </c>
      <c r="N15" s="69">
        <v>34</v>
      </c>
      <c r="O15" s="69">
        <v>105</v>
      </c>
      <c r="P15" s="69">
        <v>117</v>
      </c>
      <c r="Q15" s="69">
        <v>82</v>
      </c>
      <c r="R15" s="70">
        <v>45</v>
      </c>
    </row>
    <row r="16" spans="1:18" x14ac:dyDescent="0.3">
      <c r="A16" s="163">
        <v>1</v>
      </c>
      <c r="B16" s="174" t="s">
        <v>46</v>
      </c>
      <c r="C16" s="165"/>
      <c r="D16" s="166" t="s">
        <v>18</v>
      </c>
      <c r="E16" s="74">
        <v>0.995</v>
      </c>
      <c r="F16" s="74">
        <f t="shared" ref="F16" si="4">IFERROR(1-(F18+F19)/F17,0)</f>
        <v>0.98533192197187358</v>
      </c>
      <c r="G16" s="74">
        <f>IFERROR(1-(G18+G19)/G17,0)</f>
        <v>0.97250361794500728</v>
      </c>
      <c r="H16" s="74">
        <f t="shared" ref="H16" si="5">IFERROR(1-(H18+H19)/H17,0)</f>
        <v>0.97538461538461541</v>
      </c>
      <c r="I16" s="74">
        <f t="shared" ref="I16" si="6">IFERROR(1-(I18+I19)/I17,0)</f>
        <v>0.98457223001402527</v>
      </c>
      <c r="J16" s="74">
        <f t="shared" ref="J16" si="7">IFERROR(1-(J18+J19)/J17,0)</f>
        <v>0.99484536082474229</v>
      </c>
      <c r="K16" s="74">
        <f t="shared" ref="K16" si="8">IFERROR(1-(K18+K19)/K17,0)</f>
        <v>0.98983739837398377</v>
      </c>
      <c r="L16" s="74">
        <f t="shared" ref="L16" si="9">IFERROR(1-(L18+L19)/L17,0)</f>
        <v>0.99350649350649356</v>
      </c>
      <c r="M16" s="74">
        <f t="shared" ref="M16" si="10">IFERROR(1-(M18+M19)/M17,0)</f>
        <v>0.99025341130604283</v>
      </c>
      <c r="N16" s="74">
        <f t="shared" ref="N16" si="11">IFERROR(1-(N18+N19)/N17,0)</f>
        <v>0.96888888888888891</v>
      </c>
      <c r="O16" s="74">
        <f t="shared" ref="O16" si="12">IFERROR(1-(O18+O19)/O17,0)</f>
        <v>0.99640933572710955</v>
      </c>
      <c r="P16" s="74">
        <f t="shared" ref="P16" si="13">IFERROR(1-(P18+P19)/P17,0)</f>
        <v>0.98645598194130923</v>
      </c>
      <c r="Q16" s="74">
        <f t="shared" ref="Q16" si="14">IFERROR(1-(Q18+Q19)/Q17,0)</f>
        <v>0.99015748031496065</v>
      </c>
      <c r="R16" s="72">
        <f t="shared" ref="R16" si="15">IFERROR(1-(R18+R19)/R17,0)</f>
        <v>0.98241206030150752</v>
      </c>
    </row>
    <row r="17" spans="1:18" x14ac:dyDescent="0.3">
      <c r="A17" s="167">
        <v>4</v>
      </c>
      <c r="B17" s="2" t="s">
        <v>27</v>
      </c>
      <c r="C17" s="159"/>
      <c r="D17" s="2"/>
      <c r="E17" s="173"/>
      <c r="F17" s="161">
        <f>SUM(G17:R17)</f>
        <v>6613</v>
      </c>
      <c r="G17" s="63">
        <v>691</v>
      </c>
      <c r="H17" s="63">
        <v>650</v>
      </c>
      <c r="I17" s="63">
        <v>713</v>
      </c>
      <c r="J17" s="63">
        <v>582</v>
      </c>
      <c r="K17" s="63">
        <v>492</v>
      </c>
      <c r="L17" s="63">
        <v>616</v>
      </c>
      <c r="M17" s="63">
        <v>513</v>
      </c>
      <c r="N17" s="63">
        <v>450</v>
      </c>
      <c r="O17" s="63">
        <v>557</v>
      </c>
      <c r="P17" s="63">
        <v>443</v>
      </c>
      <c r="Q17" s="63">
        <v>508</v>
      </c>
      <c r="R17" s="64">
        <v>398</v>
      </c>
    </row>
    <row r="18" spans="1:18" x14ac:dyDescent="0.3">
      <c r="A18" s="167">
        <v>2</v>
      </c>
      <c r="B18" s="2" t="s">
        <v>26</v>
      </c>
      <c r="C18" s="162"/>
      <c r="D18" s="2" t="s">
        <v>16</v>
      </c>
      <c r="E18" s="173"/>
      <c r="F18" s="161">
        <f>SUM(G18:R18)</f>
        <v>85</v>
      </c>
      <c r="G18" s="63">
        <v>18</v>
      </c>
      <c r="H18" s="63">
        <v>15</v>
      </c>
      <c r="I18" s="63">
        <v>10</v>
      </c>
      <c r="J18" s="63">
        <v>2</v>
      </c>
      <c r="K18" s="63">
        <v>4</v>
      </c>
      <c r="L18" s="63">
        <v>3</v>
      </c>
      <c r="M18" s="63">
        <v>4</v>
      </c>
      <c r="N18" s="63">
        <v>13</v>
      </c>
      <c r="O18" s="63">
        <v>1</v>
      </c>
      <c r="P18" s="63">
        <v>5</v>
      </c>
      <c r="Q18" s="63">
        <v>4</v>
      </c>
      <c r="R18" s="64">
        <v>6</v>
      </c>
    </row>
    <row r="19" spans="1:18" x14ac:dyDescent="0.3">
      <c r="A19" s="167">
        <v>2</v>
      </c>
      <c r="B19" s="2" t="s">
        <v>50</v>
      </c>
      <c r="C19" s="162"/>
      <c r="D19" s="2" t="s">
        <v>59</v>
      </c>
      <c r="E19" s="173"/>
      <c r="F19" s="161">
        <f>SUM(G19:R19)</f>
        <v>12</v>
      </c>
      <c r="G19" s="63">
        <v>1</v>
      </c>
      <c r="H19" s="63">
        <v>1</v>
      </c>
      <c r="I19" s="63">
        <v>1</v>
      </c>
      <c r="J19" s="63">
        <v>1</v>
      </c>
      <c r="K19" s="63">
        <v>1</v>
      </c>
      <c r="L19" s="63">
        <v>1</v>
      </c>
      <c r="M19" s="63">
        <v>1</v>
      </c>
      <c r="N19" s="63">
        <v>1</v>
      </c>
      <c r="O19" s="63">
        <v>1</v>
      </c>
      <c r="P19" s="63">
        <v>1</v>
      </c>
      <c r="Q19" s="63">
        <v>1</v>
      </c>
      <c r="R19" s="64">
        <v>1</v>
      </c>
    </row>
    <row r="20" spans="1:18" ht="15" thickBot="1" x14ac:dyDescent="0.35">
      <c r="A20" s="168">
        <v>2</v>
      </c>
      <c r="B20" s="5" t="s">
        <v>8</v>
      </c>
      <c r="C20" s="169"/>
      <c r="D20" s="5" t="s">
        <v>68</v>
      </c>
      <c r="E20" s="170"/>
      <c r="F20" s="171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</row>
    <row r="21" spans="1:18" x14ac:dyDescent="0.3">
      <c r="A21" s="142">
        <v>1</v>
      </c>
      <c r="B21" s="15" t="s">
        <v>7</v>
      </c>
      <c r="C21" s="25"/>
      <c r="D21" s="22" t="s">
        <v>20</v>
      </c>
      <c r="E21" s="158">
        <v>0.7</v>
      </c>
      <c r="F21" s="58">
        <f>IFERROR(1-(F23)/F22,0)</f>
        <v>0.67103448275862076</v>
      </c>
      <c r="G21" s="59">
        <f t="shared" ref="G21" si="16">IFERROR(1-(G23)/G22,0)</f>
        <v>0.56055900621118004</v>
      </c>
      <c r="H21" s="60">
        <f t="shared" ref="H21" si="17">IFERROR(1-(H23)/H22,0)</f>
        <v>0.6530014641288433</v>
      </c>
      <c r="I21" s="60">
        <f t="shared" ref="I21" si="18">IFERROR(1-(I23)/I22,0)</f>
        <v>0.7120418848167539</v>
      </c>
      <c r="J21" s="60">
        <f t="shared" ref="J21" si="19">IFERROR(1-(J23)/J22,0)</f>
        <v>0.61426256077795793</v>
      </c>
      <c r="K21" s="60">
        <f t="shared" ref="K21" si="20">IFERROR(1-(K23)/K22,0)</f>
        <v>0.63440860215053763</v>
      </c>
      <c r="L21" s="60">
        <f t="shared" ref="L21" si="21">IFERROR(1-(L23)/L22,0)</f>
        <v>0.71636952998379255</v>
      </c>
      <c r="M21" s="60">
        <f t="shared" ref="M21" si="22">IFERROR(1-(M23)/M22,0)</f>
        <v>0.73544973544973546</v>
      </c>
      <c r="N21" s="60">
        <f t="shared" ref="N21" si="23">IFERROR(1-(N23)/N22,0)</f>
        <v>0.62222222222222223</v>
      </c>
      <c r="O21" s="60">
        <f t="shared" ref="O21" si="24">IFERROR(1-(O23)/O22,0)</f>
        <v>0.73145780051150888</v>
      </c>
      <c r="P21" s="60">
        <f t="shared" ref="P21" si="25">IFERROR(1-(P23)/P22,0)</f>
        <v>0.7567567567567568</v>
      </c>
      <c r="Q21" s="60">
        <f t="shared" ref="Q21" si="26">IFERROR(1-(Q23)/Q22,0)</f>
        <v>0.64806866952789699</v>
      </c>
      <c r="R21" s="58">
        <f t="shared" ref="R21" si="27">IFERROR(1-(R23)/R22,0)</f>
        <v>0.71518987341772156</v>
      </c>
    </row>
    <row r="22" spans="1:18" x14ac:dyDescent="0.3">
      <c r="A22" s="141">
        <v>2</v>
      </c>
      <c r="B22" s="12" t="s">
        <v>47</v>
      </c>
      <c r="C22" s="20"/>
      <c r="D22" s="7"/>
      <c r="E22" s="79"/>
      <c r="F22" s="61">
        <f>SUM(G22:R22)</f>
        <v>5800</v>
      </c>
      <c r="G22" s="62">
        <v>644</v>
      </c>
      <c r="H22" s="63">
        <v>683</v>
      </c>
      <c r="I22" s="63">
        <v>764</v>
      </c>
      <c r="J22" s="63">
        <v>617</v>
      </c>
      <c r="K22" s="63">
        <v>744</v>
      </c>
      <c r="L22" s="63">
        <v>617</v>
      </c>
      <c r="M22" s="63">
        <v>378</v>
      </c>
      <c r="N22" s="63">
        <v>90</v>
      </c>
      <c r="O22" s="63">
        <v>391</v>
      </c>
      <c r="P22" s="63">
        <v>481</v>
      </c>
      <c r="Q22" s="63">
        <v>233</v>
      </c>
      <c r="R22" s="64">
        <v>158</v>
      </c>
    </row>
    <row r="23" spans="1:18" ht="15" thickBot="1" x14ac:dyDescent="0.35">
      <c r="A23" s="141">
        <v>2</v>
      </c>
      <c r="B23" s="13" t="s">
        <v>35</v>
      </c>
      <c r="C23" s="21"/>
      <c r="D23" s="17"/>
      <c r="E23" s="80"/>
      <c r="F23" s="75">
        <f>SUM(G23:R23)</f>
        <v>1908</v>
      </c>
      <c r="G23" s="76">
        <v>283</v>
      </c>
      <c r="H23" s="77">
        <v>237</v>
      </c>
      <c r="I23" s="77">
        <v>220</v>
      </c>
      <c r="J23" s="77">
        <v>238</v>
      </c>
      <c r="K23" s="77">
        <v>272</v>
      </c>
      <c r="L23" s="77">
        <v>175</v>
      </c>
      <c r="M23" s="77">
        <v>100</v>
      </c>
      <c r="N23" s="77">
        <v>34</v>
      </c>
      <c r="O23" s="77">
        <v>105</v>
      </c>
      <c r="P23" s="77">
        <v>117</v>
      </c>
      <c r="Q23" s="77">
        <v>82</v>
      </c>
      <c r="R23" s="78">
        <v>45</v>
      </c>
    </row>
    <row r="24" spans="1:18" x14ac:dyDescent="0.3">
      <c r="A24" s="143">
        <v>1</v>
      </c>
      <c r="B24" s="136" t="s">
        <v>3</v>
      </c>
      <c r="C24" s="19"/>
      <c r="D24" s="22"/>
      <c r="E24" s="81"/>
      <c r="F24" s="47">
        <f>AVERAGE(G24:R24)</f>
        <v>15147092.289546721</v>
      </c>
      <c r="G24" s="82">
        <f t="shared" ref="G24:R24" si="28">SUM(G25:G27)</f>
        <v>13480498.316829313</v>
      </c>
      <c r="H24" s="83">
        <f t="shared" si="28"/>
        <v>13901636.571861947</v>
      </c>
      <c r="I24" s="83">
        <f>SUM(I25:I27)</f>
        <v>13945393.621519979</v>
      </c>
      <c r="J24" s="83">
        <f t="shared" si="28"/>
        <v>14274999.134813666</v>
      </c>
      <c r="K24" s="83">
        <f t="shared" si="28"/>
        <v>15375064.465865521</v>
      </c>
      <c r="L24" s="83">
        <f t="shared" si="28"/>
        <v>15481303.335683623</v>
      </c>
      <c r="M24" s="83">
        <f t="shared" si="28"/>
        <v>15428270.204130728</v>
      </c>
      <c r="N24" s="83">
        <f t="shared" si="28"/>
        <v>16641843.540047441</v>
      </c>
      <c r="O24" s="83">
        <f t="shared" si="28"/>
        <v>17161880.123482727</v>
      </c>
      <c r="P24" s="83">
        <f t="shared" si="28"/>
        <v>16551618.544927096</v>
      </c>
      <c r="Q24" s="83">
        <f t="shared" si="28"/>
        <v>16580503.020562939</v>
      </c>
      <c r="R24" s="83">
        <f t="shared" si="28"/>
        <v>12942096.594835656</v>
      </c>
    </row>
    <row r="25" spans="1:18" x14ac:dyDescent="0.3">
      <c r="A25" s="141">
        <v>2</v>
      </c>
      <c r="B25" s="12" t="s">
        <v>10</v>
      </c>
      <c r="C25" s="20"/>
      <c r="D25" s="7"/>
      <c r="E25" s="84"/>
      <c r="F25" s="85"/>
      <c r="G25" s="86">
        <v>4348518.2547271783</v>
      </c>
      <c r="H25" s="50">
        <v>1351049.6722222415</v>
      </c>
      <c r="I25" s="50">
        <v>1724033.8429048306</v>
      </c>
      <c r="J25" s="50">
        <v>1587939.0620462934</v>
      </c>
      <c r="K25" s="50">
        <v>1778202.3603109594</v>
      </c>
      <c r="L25" s="50">
        <v>1927483.332655573</v>
      </c>
      <c r="M25" s="50">
        <v>1620315.0377601895</v>
      </c>
      <c r="N25" s="50">
        <v>2088109.2025311466</v>
      </c>
      <c r="O25" s="50">
        <v>1812794.9588152256</v>
      </c>
      <c r="P25" s="50">
        <v>1335495.4878934063</v>
      </c>
      <c r="Q25" s="50">
        <v>1501126.3618183739</v>
      </c>
      <c r="R25" s="50">
        <v>1270998.6363603098</v>
      </c>
    </row>
    <row r="26" spans="1:18" x14ac:dyDescent="0.3">
      <c r="A26" s="141">
        <v>2</v>
      </c>
      <c r="B26" s="12" t="s">
        <v>11</v>
      </c>
      <c r="C26" s="20"/>
      <c r="D26" s="7"/>
      <c r="E26" s="84"/>
      <c r="F26" s="85"/>
      <c r="G26" s="86">
        <v>5697264.208014478</v>
      </c>
      <c r="H26" s="50">
        <v>5896796.7354035117</v>
      </c>
      <c r="I26" s="50">
        <v>6185232.7897540713</v>
      </c>
      <c r="J26" s="50">
        <v>6072674.4183281278</v>
      </c>
      <c r="K26" s="50">
        <v>6366620.8074587164</v>
      </c>
      <c r="L26" s="50">
        <v>6171699.3407844938</v>
      </c>
      <c r="M26" s="50">
        <v>6106927.9444336807</v>
      </c>
      <c r="N26" s="50">
        <v>6936570.100868267</v>
      </c>
      <c r="O26" s="50">
        <v>7078297.6301781498</v>
      </c>
      <c r="P26" s="50">
        <v>6543135.7867200263</v>
      </c>
      <c r="Q26" s="50">
        <v>6226838.8224445889</v>
      </c>
      <c r="R26" s="50">
        <v>3231359.8106102073</v>
      </c>
    </row>
    <row r="27" spans="1:18" x14ac:dyDescent="0.3">
      <c r="A27" s="141">
        <v>2</v>
      </c>
      <c r="B27" s="12" t="s">
        <v>12</v>
      </c>
      <c r="C27" s="20"/>
      <c r="D27" s="7"/>
      <c r="E27" s="84"/>
      <c r="F27" s="87"/>
      <c r="G27" s="88">
        <v>3434715.8540876573</v>
      </c>
      <c r="H27" s="89">
        <v>6653790.1642361935</v>
      </c>
      <c r="I27" s="89">
        <v>6036126.9888610775</v>
      </c>
      <c r="J27" s="89">
        <v>6614385.6544392463</v>
      </c>
      <c r="K27" s="89">
        <v>7230241.2980958447</v>
      </c>
      <c r="L27" s="89">
        <v>7382120.6622435562</v>
      </c>
      <c r="M27" s="89">
        <v>7701027.2219368564</v>
      </c>
      <c r="N27" s="89">
        <v>7617164.2366480259</v>
      </c>
      <c r="O27" s="89">
        <v>8270787.5344893513</v>
      </c>
      <c r="P27" s="89">
        <v>8672987.2703136634</v>
      </c>
      <c r="Q27" s="89">
        <v>8852537.8362999763</v>
      </c>
      <c r="R27" s="89">
        <v>8439738.1478651389</v>
      </c>
    </row>
    <row r="28" spans="1:18" x14ac:dyDescent="0.3">
      <c r="A28" s="141">
        <v>2</v>
      </c>
      <c r="B28" s="12" t="s">
        <v>33</v>
      </c>
      <c r="C28" s="20"/>
      <c r="D28" s="7"/>
      <c r="E28" s="90">
        <v>0.85</v>
      </c>
      <c r="F28" s="91">
        <f>IFERROR(1-((F29+F30)/F24),"")</f>
        <v>0.92831627488337609</v>
      </c>
      <c r="G28" s="92">
        <f>IFERROR(1-((G29+G30)/G24),"")</f>
        <v>0.99240640696564608</v>
      </c>
      <c r="H28" s="93">
        <f t="shared" ref="H28:Q28" si="29">IFERROR(1-((H29+H30)/H24),"")</f>
        <v>0.98612838047262941</v>
      </c>
      <c r="I28" s="93">
        <f>IFERROR(1-((I29+I30)/I24),"")</f>
        <v>0.97848750609397994</v>
      </c>
      <c r="J28" s="93">
        <f>IFERROR(1-((J29+J30)/J24),"")</f>
        <v>0.98848964506983106</v>
      </c>
      <c r="K28" s="93">
        <f t="shared" si="29"/>
        <v>0.98584621866465427</v>
      </c>
      <c r="L28" s="93">
        <f t="shared" si="29"/>
        <v>0.99573679304843321</v>
      </c>
      <c r="M28" s="93">
        <f t="shared" si="29"/>
        <v>0.98795535039943339</v>
      </c>
      <c r="N28" s="93">
        <f t="shared" si="29"/>
        <v>0.9812258603209737</v>
      </c>
      <c r="O28" s="93">
        <f t="shared" si="29"/>
        <v>0.99041542699494955</v>
      </c>
      <c r="P28" s="93">
        <f t="shared" si="29"/>
        <v>0.99232913315477855</v>
      </c>
      <c r="Q28" s="93">
        <f t="shared" si="29"/>
        <v>0.99484716219953573</v>
      </c>
      <c r="R28" s="93">
        <f>IFERROR(1-((R29+R30)/R24),"")</f>
        <v>0.96262069013299667</v>
      </c>
    </row>
    <row r="29" spans="1:18" x14ac:dyDescent="0.3">
      <c r="A29" s="141">
        <v>3</v>
      </c>
      <c r="B29" s="12" t="s">
        <v>32</v>
      </c>
      <c r="C29" s="20"/>
      <c r="D29" s="7"/>
      <c r="E29" s="84"/>
      <c r="F29" s="52">
        <f>SUM(G29:R29)</f>
        <v>1085800</v>
      </c>
      <c r="G29" s="53">
        <v>0</v>
      </c>
      <c r="H29" s="54">
        <v>0</v>
      </c>
      <c r="I29" s="54">
        <v>300000</v>
      </c>
      <c r="J29" s="54">
        <v>72000</v>
      </c>
      <c r="K29" s="54">
        <v>0</v>
      </c>
      <c r="L29" s="54">
        <v>66000</v>
      </c>
      <c r="M29" s="54">
        <v>35000</v>
      </c>
      <c r="N29" s="54">
        <v>179000</v>
      </c>
      <c r="O29" s="54">
        <v>0</v>
      </c>
      <c r="P29" s="54">
        <v>0</v>
      </c>
      <c r="Q29" s="54">
        <v>0</v>
      </c>
      <c r="R29" s="54">
        <f>216800+217000</f>
        <v>433800</v>
      </c>
    </row>
    <row r="30" spans="1:18" ht="15" thickBot="1" x14ac:dyDescent="0.35">
      <c r="A30" s="141">
        <v>3</v>
      </c>
      <c r="B30" s="14" t="s">
        <v>28</v>
      </c>
      <c r="C30" s="21"/>
      <c r="D30" s="24"/>
      <c r="E30" s="94"/>
      <c r="F30" s="95"/>
      <c r="G30" s="96">
        <v>102365.41811829405</v>
      </c>
      <c r="H30" s="97">
        <v>192838.21333264987</v>
      </c>
      <c r="I30" s="97">
        <v>0.19530000000000003</v>
      </c>
      <c r="J30" s="97">
        <v>92310.30666955949</v>
      </c>
      <c r="K30" s="97">
        <v>217615.30046670555</v>
      </c>
      <c r="L30" s="97">
        <v>0</v>
      </c>
      <c r="M30" s="97">
        <v>150828.10855161698</v>
      </c>
      <c r="N30" s="97">
        <v>133436.29513735179</v>
      </c>
      <c r="O30" s="97">
        <v>164489.29294744489</v>
      </c>
      <c r="P30" s="97">
        <v>126965.26193103461</v>
      </c>
      <c r="Q30" s="97">
        <v>85436.642715067879</v>
      </c>
      <c r="R30" s="97">
        <v>49966.638947050007</v>
      </c>
    </row>
    <row r="31" spans="1:18" x14ac:dyDescent="0.3">
      <c r="A31" s="143">
        <v>1</v>
      </c>
      <c r="B31" s="134" t="s">
        <v>37</v>
      </c>
      <c r="C31" s="19"/>
      <c r="D31" s="18"/>
      <c r="E31" s="98"/>
      <c r="F31" s="99">
        <f t="shared" ref="F31:R31" si="30">F34+F48</f>
        <v>17901400.098043732</v>
      </c>
      <c r="G31" s="100">
        <f t="shared" si="30"/>
        <v>1558421.1567920733</v>
      </c>
      <c r="H31" s="101">
        <f t="shared" si="30"/>
        <v>1901610.5152869876</v>
      </c>
      <c r="I31" s="101">
        <f t="shared" si="30"/>
        <v>1899950.346053801</v>
      </c>
      <c r="J31" s="101">
        <f t="shared" si="30"/>
        <v>1962402.6758370339</v>
      </c>
      <c r="K31" s="101">
        <f t="shared" si="30"/>
        <v>1708894.2841646629</v>
      </c>
      <c r="L31" s="101">
        <f t="shared" si="30"/>
        <v>1893847.7473392091</v>
      </c>
      <c r="M31" s="101">
        <f t="shared" si="30"/>
        <v>1733792.7095103269</v>
      </c>
      <c r="N31" s="101">
        <f t="shared" si="30"/>
        <v>612242.31885011867</v>
      </c>
      <c r="O31" s="101">
        <f t="shared" si="30"/>
        <v>2008679.3193087068</v>
      </c>
      <c r="P31" s="101">
        <f t="shared" si="30"/>
        <v>1201778.6561956513</v>
      </c>
      <c r="Q31" s="101">
        <f t="shared" si="30"/>
        <v>920561.22538474086</v>
      </c>
      <c r="R31" s="102">
        <f t="shared" si="30"/>
        <v>499219.1433204225</v>
      </c>
    </row>
    <row r="32" spans="1:18" x14ac:dyDescent="0.3">
      <c r="A32" s="143">
        <v>1</v>
      </c>
      <c r="B32" s="16" t="s">
        <v>79</v>
      </c>
      <c r="C32" s="20"/>
      <c r="D32" s="7"/>
      <c r="E32" s="107">
        <f>E35+E49</f>
        <v>0.39999999999999997</v>
      </c>
      <c r="F32" s="108">
        <f>F31/F$2</f>
        <v>0.34408382658827452</v>
      </c>
      <c r="G32" s="109">
        <f>G31/G$2</f>
        <v>0.27492680024107863</v>
      </c>
      <c r="H32" s="110">
        <f t="shared" ref="H32:R32" si="31">H31/H$2</f>
        <v>0.3575459982069667</v>
      </c>
      <c r="I32" s="110">
        <f t="shared" si="31"/>
        <v>0.33114263059018667</v>
      </c>
      <c r="J32" s="110">
        <f t="shared" si="31"/>
        <v>0.44625703961038582</v>
      </c>
      <c r="K32" s="110">
        <f t="shared" si="31"/>
        <v>0.39773447861418532</v>
      </c>
      <c r="L32" s="110">
        <f t="shared" si="31"/>
        <v>0.39984953320171734</v>
      </c>
      <c r="M32" s="110">
        <f t="shared" si="31"/>
        <v>0.42696473336818414</v>
      </c>
      <c r="N32" s="110">
        <f t="shared" si="31"/>
        <v>0.16315010308514274</v>
      </c>
      <c r="O32" s="110">
        <f t="shared" si="31"/>
        <v>0.41071760037083144</v>
      </c>
      <c r="P32" s="110">
        <f t="shared" si="31"/>
        <v>0.43089408726214606</v>
      </c>
      <c r="Q32" s="110">
        <f t="shared" si="31"/>
        <v>0.26795793992301126</v>
      </c>
      <c r="R32" s="108">
        <f t="shared" si="31"/>
        <v>0.16964439171481555</v>
      </c>
    </row>
    <row r="33" spans="1:18" x14ac:dyDescent="0.3">
      <c r="A33" s="141">
        <v>2</v>
      </c>
      <c r="B33" s="12" t="s">
        <v>31</v>
      </c>
      <c r="C33" s="20"/>
      <c r="D33" s="7"/>
      <c r="E33" s="103"/>
      <c r="F33" s="52">
        <f t="shared" ref="F33:R33" si="32">F44+F29+ABS(F5)</f>
        <v>1538679</v>
      </c>
      <c r="G33" s="104">
        <f t="shared" si="32"/>
        <v>37565</v>
      </c>
      <c r="H33" s="105">
        <f t="shared" si="32"/>
        <v>24837</v>
      </c>
      <c r="I33" s="105">
        <f t="shared" si="32"/>
        <v>402599</v>
      </c>
      <c r="J33" s="105">
        <f t="shared" si="32"/>
        <v>80886</v>
      </c>
      <c r="K33" s="105">
        <f t="shared" si="32"/>
        <v>17676</v>
      </c>
      <c r="L33" s="105">
        <f t="shared" si="32"/>
        <v>206604</v>
      </c>
      <c r="M33" s="105">
        <f t="shared" si="32"/>
        <v>72660</v>
      </c>
      <c r="N33" s="105">
        <f t="shared" si="32"/>
        <v>218141</v>
      </c>
      <c r="O33" s="105">
        <f t="shared" si="32"/>
        <v>6825</v>
      </c>
      <c r="P33" s="105">
        <f t="shared" si="32"/>
        <v>12981</v>
      </c>
      <c r="Q33" s="105">
        <f t="shared" si="32"/>
        <v>19145</v>
      </c>
      <c r="R33" s="106">
        <f t="shared" si="32"/>
        <v>438760</v>
      </c>
    </row>
    <row r="34" spans="1:18" x14ac:dyDescent="0.3">
      <c r="A34" s="143">
        <v>1</v>
      </c>
      <c r="B34" s="135" t="s">
        <v>39</v>
      </c>
      <c r="C34" s="20"/>
      <c r="D34" s="7"/>
      <c r="E34" s="103"/>
      <c r="F34" s="52">
        <f t="shared" ref="F34" si="33">F36+F37+F41+F42+F43+F44+F45</f>
        <v>2760134.4141864013</v>
      </c>
      <c r="G34" s="104">
        <f>G36+G37+G41+G42+G43+G44+G45</f>
        <v>239511.24579207328</v>
      </c>
      <c r="H34" s="105">
        <f t="shared" ref="H34:R34" si="34">H36+H37+H41+H42+H43+H44+H45</f>
        <v>286273.09142965486</v>
      </c>
      <c r="I34" s="105">
        <f t="shared" si="34"/>
        <v>259706.48405379994</v>
      </c>
      <c r="J34" s="105">
        <f t="shared" si="34"/>
        <v>237132.49783703417</v>
      </c>
      <c r="K34" s="105">
        <f t="shared" si="34"/>
        <v>225266.66116466379</v>
      </c>
      <c r="L34" s="105">
        <f t="shared" si="34"/>
        <v>249228.25833920907</v>
      </c>
      <c r="M34" s="105">
        <f t="shared" si="34"/>
        <v>227798.67551032681</v>
      </c>
      <c r="N34" s="105">
        <f t="shared" si="34"/>
        <v>171191.60885011859</v>
      </c>
      <c r="O34" s="105">
        <f t="shared" si="34"/>
        <v>236905.70030870682</v>
      </c>
      <c r="P34" s="105">
        <f t="shared" si="34"/>
        <v>223615.9281956511</v>
      </c>
      <c r="Q34" s="105">
        <f t="shared" si="34"/>
        <v>223504.1393847407</v>
      </c>
      <c r="R34" s="106">
        <f t="shared" si="34"/>
        <v>180000.12332042248</v>
      </c>
    </row>
    <row r="35" spans="1:18" x14ac:dyDescent="0.3">
      <c r="A35" s="143">
        <v>1</v>
      </c>
      <c r="B35" s="16" t="s">
        <v>40</v>
      </c>
      <c r="C35" s="20"/>
      <c r="D35" s="7"/>
      <c r="E35" s="107">
        <v>5.2999999999999999E-2</v>
      </c>
      <c r="F35" s="108">
        <f>F34/F$2</f>
        <v>5.3052700120088801E-2</v>
      </c>
      <c r="G35" s="109">
        <f>G34/G$2</f>
        <v>4.22530585781535E-2</v>
      </c>
      <c r="H35" s="110">
        <f t="shared" ref="H35" si="35">H34/H$2</f>
        <v>5.3825847833809878E-2</v>
      </c>
      <c r="I35" s="110">
        <f t="shared" ref="I35" si="36">I34/I$2</f>
        <v>4.5264282032172858E-2</v>
      </c>
      <c r="J35" s="110">
        <f t="shared" ref="J35" si="37">J34/J$2</f>
        <v>5.392473613247304E-2</v>
      </c>
      <c r="K35" s="110">
        <f t="shared" ref="K35" si="38">K34/K$2</f>
        <v>5.2429409389289479E-2</v>
      </c>
      <c r="L35" s="110">
        <f t="shared" ref="L35" si="39">L34/L$2</f>
        <v>5.2619754094604447E-2</v>
      </c>
      <c r="M35" s="110">
        <f t="shared" ref="M35" si="40">M34/M$2</f>
        <v>5.6097825430562444E-2</v>
      </c>
      <c r="N35" s="110">
        <f t="shared" ref="N35" si="41">N34/N$2</f>
        <v>4.5619075603373527E-2</v>
      </c>
      <c r="O35" s="110">
        <f t="shared" ref="O35" si="42">O34/O$2</f>
        <v>4.8440455283051333E-2</v>
      </c>
      <c r="P35" s="110">
        <f t="shared" ref="P35" si="43">P34/P$2</f>
        <v>8.0176811911573817E-2</v>
      </c>
      <c r="Q35" s="110">
        <f t="shared" ref="Q35" si="44">Q34/Q$2</f>
        <v>6.5057822448224764E-2</v>
      </c>
      <c r="R35" s="108">
        <f t="shared" ref="R35" si="45">R34/R$2</f>
        <v>6.1167549037047637E-2</v>
      </c>
    </row>
    <row r="36" spans="1:18" x14ac:dyDescent="0.3">
      <c r="A36" s="141">
        <v>2</v>
      </c>
      <c r="B36" s="12" t="s">
        <v>41</v>
      </c>
      <c r="C36" s="20"/>
      <c r="D36" s="7"/>
      <c r="E36" s="111"/>
      <c r="F36" s="52">
        <f>SUM(G36:R36)</f>
        <v>454412.7686864016</v>
      </c>
      <c r="G36" s="104">
        <f t="shared" ref="G36:R36" si="46">G24*(0.03/12)</f>
        <v>33701.245792073285</v>
      </c>
      <c r="H36" s="105">
        <f t="shared" si="46"/>
        <v>34754.091429654865</v>
      </c>
      <c r="I36" s="105">
        <f t="shared" si="46"/>
        <v>34863.484053799948</v>
      </c>
      <c r="J36" s="105">
        <f t="shared" si="46"/>
        <v>35687.497837034163</v>
      </c>
      <c r="K36" s="105">
        <f t="shared" si="46"/>
        <v>38437.661164663805</v>
      </c>
      <c r="L36" s="105">
        <f t="shared" si="46"/>
        <v>38703.25833920906</v>
      </c>
      <c r="M36" s="105">
        <f t="shared" si="46"/>
        <v>38570.675510326822</v>
      </c>
      <c r="N36" s="105">
        <f t="shared" si="46"/>
        <v>41604.608850118602</v>
      </c>
      <c r="O36" s="105">
        <f t="shared" si="46"/>
        <v>42904.700308706815</v>
      </c>
      <c r="P36" s="105">
        <f t="shared" si="46"/>
        <v>41379.046362317742</v>
      </c>
      <c r="Q36" s="105">
        <f t="shared" si="46"/>
        <v>41451.257551407347</v>
      </c>
      <c r="R36" s="106">
        <f t="shared" si="46"/>
        <v>32355.241487089141</v>
      </c>
    </row>
    <row r="37" spans="1:18" x14ac:dyDescent="0.3">
      <c r="A37" s="141">
        <v>2</v>
      </c>
      <c r="B37" s="12" t="s">
        <v>81</v>
      </c>
      <c r="C37" s="20"/>
      <c r="D37" s="7"/>
      <c r="E37" s="111"/>
      <c r="F37" s="52">
        <f t="shared" ref="F37" si="47">SUM(G37:R37)</f>
        <v>135000</v>
      </c>
      <c r="G37" s="104">
        <f>G39*0.25*30</f>
        <v>11250</v>
      </c>
      <c r="H37" s="105">
        <f>H39*0.25*30</f>
        <v>11250</v>
      </c>
      <c r="I37" s="105">
        <f t="shared" ref="I37:R37" si="48">I39*0.25*30</f>
        <v>11250</v>
      </c>
      <c r="J37" s="105">
        <f t="shared" si="48"/>
        <v>11250</v>
      </c>
      <c r="K37" s="105">
        <f t="shared" si="48"/>
        <v>11250</v>
      </c>
      <c r="L37" s="105">
        <f t="shared" si="48"/>
        <v>11250</v>
      </c>
      <c r="M37" s="105">
        <f t="shared" si="48"/>
        <v>11250</v>
      </c>
      <c r="N37" s="105">
        <f t="shared" si="48"/>
        <v>11250</v>
      </c>
      <c r="O37" s="105">
        <f t="shared" si="48"/>
        <v>11250</v>
      </c>
      <c r="P37" s="105">
        <f t="shared" si="48"/>
        <v>11250</v>
      </c>
      <c r="Q37" s="105">
        <f t="shared" si="48"/>
        <v>11250</v>
      </c>
      <c r="R37" s="106">
        <f t="shared" si="48"/>
        <v>11250</v>
      </c>
    </row>
    <row r="38" spans="1:18" x14ac:dyDescent="0.3">
      <c r="A38" s="141">
        <v>3</v>
      </c>
      <c r="B38" s="12" t="s">
        <v>77</v>
      </c>
      <c r="C38" s="20"/>
      <c r="D38" s="7"/>
      <c r="E38" s="112">
        <v>0.75</v>
      </c>
      <c r="F38" s="108"/>
      <c r="G38" s="109">
        <f>IFERROR(G40/G39,"")</f>
        <v>0.68</v>
      </c>
      <c r="H38" s="110">
        <f t="shared" ref="H38:R38" si="49">IFERROR(H40/H39,"")</f>
        <v>0.68</v>
      </c>
      <c r="I38" s="110">
        <f t="shared" si="49"/>
        <v>0.68</v>
      </c>
      <c r="J38" s="110">
        <f t="shared" si="49"/>
        <v>0.68</v>
      </c>
      <c r="K38" s="110">
        <f t="shared" si="49"/>
        <v>0.68</v>
      </c>
      <c r="L38" s="110">
        <f t="shared" si="49"/>
        <v>0.68</v>
      </c>
      <c r="M38" s="110">
        <f t="shared" si="49"/>
        <v>0.68</v>
      </c>
      <c r="N38" s="110">
        <f t="shared" si="49"/>
        <v>0.68</v>
      </c>
      <c r="O38" s="110">
        <f t="shared" si="49"/>
        <v>0.68</v>
      </c>
      <c r="P38" s="110">
        <f t="shared" si="49"/>
        <v>0.68</v>
      </c>
      <c r="Q38" s="110">
        <f t="shared" si="49"/>
        <v>0.68</v>
      </c>
      <c r="R38" s="108">
        <f t="shared" si="49"/>
        <v>0.68</v>
      </c>
    </row>
    <row r="39" spans="1:18" x14ac:dyDescent="0.3">
      <c r="A39" s="141">
        <v>4</v>
      </c>
      <c r="B39" s="12" t="s">
        <v>42</v>
      </c>
      <c r="C39" s="23"/>
      <c r="D39" s="7"/>
      <c r="E39" s="113"/>
      <c r="F39" s="61"/>
      <c r="G39" s="62">
        <v>1500</v>
      </c>
      <c r="H39" s="63">
        <v>1500</v>
      </c>
      <c r="I39" s="63">
        <v>1500</v>
      </c>
      <c r="J39" s="63">
        <v>1500</v>
      </c>
      <c r="K39" s="63">
        <v>1500</v>
      </c>
      <c r="L39" s="63">
        <v>1500</v>
      </c>
      <c r="M39" s="63">
        <v>1500</v>
      </c>
      <c r="N39" s="63">
        <v>1500</v>
      </c>
      <c r="O39" s="63">
        <v>1500</v>
      </c>
      <c r="P39" s="63">
        <v>1500</v>
      </c>
      <c r="Q39" s="63">
        <v>1500</v>
      </c>
      <c r="R39" s="64">
        <v>1500</v>
      </c>
    </row>
    <row r="40" spans="1:18" x14ac:dyDescent="0.3">
      <c r="A40" s="141">
        <v>4</v>
      </c>
      <c r="B40" s="12" t="s">
        <v>43</v>
      </c>
      <c r="C40" s="23"/>
      <c r="D40" s="7"/>
      <c r="E40" s="113"/>
      <c r="F40" s="61"/>
      <c r="G40" s="62">
        <v>1020</v>
      </c>
      <c r="H40" s="63">
        <v>1020</v>
      </c>
      <c r="I40" s="63">
        <v>1020</v>
      </c>
      <c r="J40" s="63">
        <v>1020</v>
      </c>
      <c r="K40" s="63">
        <v>1020</v>
      </c>
      <c r="L40" s="63">
        <v>1020</v>
      </c>
      <c r="M40" s="63">
        <v>1020</v>
      </c>
      <c r="N40" s="63">
        <v>1020</v>
      </c>
      <c r="O40" s="63">
        <v>1020</v>
      </c>
      <c r="P40" s="63">
        <v>1020</v>
      </c>
      <c r="Q40" s="63">
        <v>1020</v>
      </c>
      <c r="R40" s="64">
        <v>1020</v>
      </c>
    </row>
    <row r="41" spans="1:18" x14ac:dyDescent="0.3">
      <c r="A41" s="141">
        <v>2</v>
      </c>
      <c r="B41" s="12" t="s">
        <v>80</v>
      </c>
      <c r="C41" s="20"/>
      <c r="D41" s="7"/>
      <c r="E41" s="111"/>
      <c r="F41" s="52">
        <f>SUM(G41:R41)</f>
        <v>0</v>
      </c>
      <c r="G41" s="53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5">
        <v>0</v>
      </c>
    </row>
    <row r="42" spans="1:18" x14ac:dyDescent="0.3">
      <c r="A42" s="141">
        <v>2</v>
      </c>
      <c r="B42" s="12" t="s">
        <v>44</v>
      </c>
      <c r="C42" s="20"/>
      <c r="D42" s="7"/>
      <c r="E42" s="111"/>
      <c r="F42" s="52">
        <f>SUM(G42:R42)</f>
        <v>0</v>
      </c>
      <c r="G42" s="53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5">
        <v>0</v>
      </c>
    </row>
    <row r="43" spans="1:18" x14ac:dyDescent="0.3">
      <c r="A43" s="141">
        <v>2</v>
      </c>
      <c r="B43" s="12" t="s">
        <v>36</v>
      </c>
      <c r="C43" s="20"/>
      <c r="D43" s="7"/>
      <c r="E43" s="111"/>
      <c r="F43" s="52">
        <f t="shared" ref="F43:F45" si="50">SUM(G43:R43)</f>
        <v>1010007</v>
      </c>
      <c r="G43" s="53">
        <v>77415</v>
      </c>
      <c r="H43" s="54">
        <v>132709</v>
      </c>
      <c r="I43" s="54">
        <v>100766</v>
      </c>
      <c r="J43" s="54">
        <v>95495</v>
      </c>
      <c r="K43" s="54">
        <v>76847</v>
      </c>
      <c r="L43" s="54">
        <v>107900</v>
      </c>
      <c r="M43" s="54">
        <v>81354</v>
      </c>
      <c r="N43" s="54">
        <v>31806</v>
      </c>
      <c r="O43" s="54">
        <v>94138</v>
      </c>
      <c r="P43" s="54">
        <v>77951</v>
      </c>
      <c r="Q43" s="54">
        <v>81896</v>
      </c>
      <c r="R43" s="55">
        <v>51730</v>
      </c>
    </row>
    <row r="44" spans="1:18" x14ac:dyDescent="0.3">
      <c r="A44" s="141">
        <v>2</v>
      </c>
      <c r="B44" s="12" t="s">
        <v>5</v>
      </c>
      <c r="C44" s="20"/>
      <c r="D44" s="7"/>
      <c r="E44" s="111"/>
      <c r="F44" s="52">
        <f t="shared" si="50"/>
        <v>164224</v>
      </c>
      <c r="G44" s="53">
        <v>31331</v>
      </c>
      <c r="H44" s="54">
        <v>21746</v>
      </c>
      <c r="I44" s="54">
        <v>27013</v>
      </c>
      <c r="J44" s="54">
        <v>8886</v>
      </c>
      <c r="K44" s="54">
        <v>12918</v>
      </c>
      <c r="L44" s="54">
        <v>9561</v>
      </c>
      <c r="M44" s="54">
        <v>14810</v>
      </c>
      <c r="N44" s="54">
        <v>4717</v>
      </c>
      <c r="O44" s="54">
        <v>6799</v>
      </c>
      <c r="P44" s="54">
        <v>12981</v>
      </c>
      <c r="Q44" s="54">
        <v>8852</v>
      </c>
      <c r="R44" s="55">
        <v>4610</v>
      </c>
    </row>
    <row r="45" spans="1:18" x14ac:dyDescent="0.3">
      <c r="A45" s="141">
        <v>2</v>
      </c>
      <c r="B45" s="12" t="s">
        <v>38</v>
      </c>
      <c r="C45" s="23"/>
      <c r="D45" s="7"/>
      <c r="E45" s="111"/>
      <c r="F45" s="52">
        <f t="shared" si="50"/>
        <v>996490.64549999987</v>
      </c>
      <c r="G45" s="53">
        <f>75814+6000+4000</f>
        <v>85814</v>
      </c>
      <c r="H45" s="54">
        <f t="shared" ref="H45:K45" si="51">75814+6000+4000</f>
        <v>85814</v>
      </c>
      <c r="I45" s="54">
        <f t="shared" si="51"/>
        <v>85814</v>
      </c>
      <c r="J45" s="54">
        <f t="shared" si="51"/>
        <v>85814</v>
      </c>
      <c r="K45" s="54">
        <f t="shared" si="51"/>
        <v>85814</v>
      </c>
      <c r="L45" s="54">
        <f t="shared" ref="L45:O45" si="52">75814+6000</f>
        <v>81814</v>
      </c>
      <c r="M45" s="54">
        <f t="shared" si="52"/>
        <v>81814</v>
      </c>
      <c r="N45" s="54">
        <f t="shared" si="52"/>
        <v>81814</v>
      </c>
      <c r="O45" s="54">
        <f t="shared" si="52"/>
        <v>81814</v>
      </c>
      <c r="P45" s="54">
        <v>80054.881833333347</v>
      </c>
      <c r="Q45" s="54">
        <v>80054.881833333347</v>
      </c>
      <c r="R45" s="55">
        <v>80054.881833333347</v>
      </c>
    </row>
    <row r="46" spans="1:18" x14ac:dyDescent="0.3">
      <c r="A46" s="141">
        <v>4</v>
      </c>
      <c r="B46" s="12" t="s">
        <v>29</v>
      </c>
      <c r="C46" s="23"/>
      <c r="D46" s="7" t="s">
        <v>60</v>
      </c>
      <c r="E46" s="111"/>
      <c r="F46" s="114"/>
      <c r="G46" s="62">
        <v>12</v>
      </c>
      <c r="H46" s="63">
        <v>12</v>
      </c>
      <c r="I46" s="63">
        <v>12</v>
      </c>
      <c r="J46" s="63">
        <v>12</v>
      </c>
      <c r="K46" s="63">
        <v>12</v>
      </c>
      <c r="L46" s="63">
        <v>12</v>
      </c>
      <c r="M46" s="63">
        <v>12</v>
      </c>
      <c r="N46" s="63">
        <v>12</v>
      </c>
      <c r="O46" s="63">
        <v>12</v>
      </c>
      <c r="P46" s="63">
        <v>12</v>
      </c>
      <c r="Q46" s="63">
        <v>12</v>
      </c>
      <c r="R46" s="64">
        <v>12</v>
      </c>
    </row>
    <row r="47" spans="1:18" x14ac:dyDescent="0.3">
      <c r="A47" s="141">
        <v>4</v>
      </c>
      <c r="B47" s="12" t="s">
        <v>30</v>
      </c>
      <c r="C47" s="23"/>
      <c r="D47" s="7"/>
      <c r="E47" s="111"/>
      <c r="F47" s="114"/>
      <c r="G47" s="62">
        <v>5</v>
      </c>
      <c r="H47" s="63">
        <v>5</v>
      </c>
      <c r="I47" s="63">
        <v>5</v>
      </c>
      <c r="J47" s="63">
        <v>5</v>
      </c>
      <c r="K47" s="63">
        <v>5</v>
      </c>
      <c r="L47" s="63">
        <v>4</v>
      </c>
      <c r="M47" s="63">
        <v>4</v>
      </c>
      <c r="N47" s="63">
        <v>4</v>
      </c>
      <c r="O47" s="63">
        <v>4</v>
      </c>
      <c r="P47" s="63">
        <v>4</v>
      </c>
      <c r="Q47" s="63">
        <v>4</v>
      </c>
      <c r="R47" s="64">
        <v>4</v>
      </c>
    </row>
    <row r="48" spans="1:18" x14ac:dyDescent="0.3">
      <c r="A48" s="143">
        <v>1</v>
      </c>
      <c r="B48" s="137" t="s">
        <v>51</v>
      </c>
      <c r="C48" s="20"/>
      <c r="D48" s="7"/>
      <c r="E48" s="103"/>
      <c r="F48" s="52">
        <f>F50+F51+F52+F53+F54+F55</f>
        <v>15141265.683857333</v>
      </c>
      <c r="G48" s="104">
        <f t="shared" ref="G48:R48" si="53">G50+G51+G52+G53+G54+G55</f>
        <v>1318909.9110000001</v>
      </c>
      <c r="H48" s="105">
        <f t="shared" si="53"/>
        <v>1615337.4238573329</v>
      </c>
      <c r="I48" s="105">
        <f t="shared" si="53"/>
        <v>1640243.8620000011</v>
      </c>
      <c r="J48" s="105">
        <f t="shared" si="53"/>
        <v>1725270.1779999998</v>
      </c>
      <c r="K48" s="105">
        <f t="shared" si="53"/>
        <v>1483627.6229999992</v>
      </c>
      <c r="L48" s="105">
        <f t="shared" si="53"/>
        <v>1644619.4890000001</v>
      </c>
      <c r="M48" s="105">
        <f t="shared" si="53"/>
        <v>1505994.034</v>
      </c>
      <c r="N48" s="105">
        <f t="shared" si="53"/>
        <v>441050.71</v>
      </c>
      <c r="O48" s="105">
        <f t="shared" si="53"/>
        <v>1771773.6189999999</v>
      </c>
      <c r="P48" s="105">
        <f t="shared" si="53"/>
        <v>978162.72800000012</v>
      </c>
      <c r="Q48" s="105">
        <f t="shared" si="53"/>
        <v>697057.08600000013</v>
      </c>
      <c r="R48" s="106">
        <f t="shared" si="53"/>
        <v>319219.02</v>
      </c>
    </row>
    <row r="49" spans="1:18" x14ac:dyDescent="0.3">
      <c r="A49" s="143">
        <v>1</v>
      </c>
      <c r="B49" s="16" t="s">
        <v>52</v>
      </c>
      <c r="C49" s="20"/>
      <c r="D49" s="7"/>
      <c r="E49" s="107">
        <v>0.34699999999999998</v>
      </c>
      <c r="F49" s="108">
        <f>F48/F$2</f>
        <v>0.29103112646818574</v>
      </c>
      <c r="G49" s="109">
        <f>G48/G$2</f>
        <v>0.23267374166292512</v>
      </c>
      <c r="H49" s="110">
        <f t="shared" ref="H49" si="54">H48/H$2</f>
        <v>0.30372015037315686</v>
      </c>
      <c r="I49" s="110">
        <f t="shared" ref="I49" si="55">I48/I$2</f>
        <v>0.28587834855801381</v>
      </c>
      <c r="J49" s="110">
        <f t="shared" ref="J49" si="56">J48/J$2</f>
        <v>0.39233230347791281</v>
      </c>
      <c r="K49" s="110">
        <f t="shared" ref="K49" si="57">K48/K$2</f>
        <v>0.34530506922489584</v>
      </c>
      <c r="L49" s="110">
        <f t="shared" ref="L49" si="58">L48/L$2</f>
        <v>0.34722977910711289</v>
      </c>
      <c r="M49" s="110">
        <f t="shared" ref="M49" si="59">M48/M$2</f>
        <v>0.37086690793762167</v>
      </c>
      <c r="N49" s="110">
        <f t="shared" ref="N49" si="60">N48/N$2</f>
        <v>0.11753102748176922</v>
      </c>
      <c r="O49" s="110">
        <f t="shared" ref="O49" si="61">O48/O$2</f>
        <v>0.36227714508778008</v>
      </c>
      <c r="P49" s="110">
        <f t="shared" ref="P49" si="62">P48/P$2</f>
        <v>0.35071727535057223</v>
      </c>
      <c r="Q49" s="110">
        <f t="shared" ref="Q49" si="63">Q48/Q$2</f>
        <v>0.20290011747478651</v>
      </c>
      <c r="R49" s="108">
        <f t="shared" ref="R49" si="64">R48/R$2</f>
        <v>0.1084768426777679</v>
      </c>
    </row>
    <row r="50" spans="1:18" x14ac:dyDescent="0.3">
      <c r="A50" s="141">
        <v>2</v>
      </c>
      <c r="B50" s="14" t="s">
        <v>71</v>
      </c>
      <c r="C50" s="20"/>
      <c r="D50" s="24"/>
      <c r="E50" s="115"/>
      <c r="F50" s="116">
        <f>SUM(G50:R50)</f>
        <v>7077848.7460000003</v>
      </c>
      <c r="G50" s="96">
        <v>545369.9</v>
      </c>
      <c r="H50" s="97">
        <v>723972.08499999996</v>
      </c>
      <c r="I50" s="97">
        <v>857755.18500000006</v>
      </c>
      <c r="J50" s="97">
        <v>867652.55500000005</v>
      </c>
      <c r="K50" s="97">
        <v>738513.17</v>
      </c>
      <c r="L50" s="97">
        <v>760807.89</v>
      </c>
      <c r="M50" s="97">
        <v>529891.99100000004</v>
      </c>
      <c r="N50" s="97">
        <v>136437.97</v>
      </c>
      <c r="O50" s="97">
        <v>971390.35</v>
      </c>
      <c r="P50" s="97">
        <v>453121.78</v>
      </c>
      <c r="Q50" s="97">
        <v>339856.89</v>
      </c>
      <c r="R50" s="117">
        <v>153078.98000000001</v>
      </c>
    </row>
    <row r="51" spans="1:18" x14ac:dyDescent="0.3">
      <c r="A51" s="141">
        <v>2</v>
      </c>
      <c r="B51" s="14" t="s">
        <v>72</v>
      </c>
      <c r="C51" s="20"/>
      <c r="D51" s="24"/>
      <c r="E51" s="115"/>
      <c r="F51" s="116">
        <f>SUM(G51:R51)</f>
        <v>54399.44</v>
      </c>
      <c r="G51" s="96">
        <v>4392.43</v>
      </c>
      <c r="H51" s="97">
        <v>8767.69</v>
      </c>
      <c r="I51" s="97">
        <v>4306.41</v>
      </c>
      <c r="J51" s="97">
        <v>486.07</v>
      </c>
      <c r="K51" s="97">
        <v>5203.88</v>
      </c>
      <c r="L51" s="97">
        <v>7516.5</v>
      </c>
      <c r="M51" s="97">
        <v>3530.12</v>
      </c>
      <c r="N51" s="97">
        <v>709.51</v>
      </c>
      <c r="O51" s="97">
        <v>5666.11</v>
      </c>
      <c r="P51" s="97">
        <v>9716.6299999999992</v>
      </c>
      <c r="Q51" s="97">
        <v>3525.84</v>
      </c>
      <c r="R51" s="117">
        <v>578.25</v>
      </c>
    </row>
    <row r="52" spans="1:18" x14ac:dyDescent="0.3">
      <c r="A52" s="141">
        <v>2</v>
      </c>
      <c r="B52" s="14" t="s">
        <v>73</v>
      </c>
      <c r="C52" s="20"/>
      <c r="D52" s="24"/>
      <c r="E52" s="115"/>
      <c r="F52" s="116">
        <f>SUM(G52:R52)</f>
        <v>277249.86</v>
      </c>
      <c r="G52" s="96">
        <v>28362.16</v>
      </c>
      <c r="H52" s="97">
        <v>16317.35</v>
      </c>
      <c r="I52" s="97">
        <v>27073</v>
      </c>
      <c r="J52" s="97">
        <v>51577.08</v>
      </c>
      <c r="K52" s="97">
        <v>20917.3</v>
      </c>
      <c r="L52" s="97">
        <v>35329.35</v>
      </c>
      <c r="M52" s="97">
        <v>24488</v>
      </c>
      <c r="N52" s="97">
        <v>686.4</v>
      </c>
      <c r="O52" s="97">
        <v>41046.22</v>
      </c>
      <c r="P52" s="97">
        <v>16126.3</v>
      </c>
      <c r="Q52" s="97">
        <v>15326.7</v>
      </c>
      <c r="R52" s="117">
        <v>0</v>
      </c>
    </row>
    <row r="53" spans="1:18" x14ac:dyDescent="0.3">
      <c r="A53" s="141">
        <v>2</v>
      </c>
      <c r="B53" s="12" t="s">
        <v>74</v>
      </c>
      <c r="C53" s="20"/>
      <c r="D53" s="7"/>
      <c r="E53" s="111"/>
      <c r="F53" s="52">
        <f>SUM(G53:R53)</f>
        <v>353008.46900000004</v>
      </c>
      <c r="G53" s="53">
        <v>28454.97</v>
      </c>
      <c r="H53" s="54">
        <v>23223.829000000002</v>
      </c>
      <c r="I53" s="54">
        <v>29303.57</v>
      </c>
      <c r="J53" s="54">
        <v>38378.519999999997</v>
      </c>
      <c r="K53" s="54">
        <v>52637.8</v>
      </c>
      <c r="L53" s="54">
        <v>27238.53</v>
      </c>
      <c r="M53" s="54">
        <v>42361.15</v>
      </c>
      <c r="N53" s="54">
        <v>13126.38</v>
      </c>
      <c r="O53" s="54">
        <v>31475.01</v>
      </c>
      <c r="P53" s="54">
        <v>23086.51</v>
      </c>
      <c r="Q53" s="54">
        <v>28652.2</v>
      </c>
      <c r="R53" s="55">
        <v>15070</v>
      </c>
    </row>
    <row r="54" spans="1:18" x14ac:dyDescent="0.3">
      <c r="A54" s="141">
        <v>2</v>
      </c>
      <c r="B54" s="7" t="s">
        <v>75</v>
      </c>
      <c r="C54" s="20"/>
      <c r="D54" s="7"/>
      <c r="E54" s="118"/>
      <c r="F54" s="119">
        <f>SUM(G54:R54)</f>
        <v>4725183.7478573322</v>
      </c>
      <c r="G54" s="54">
        <v>308270.34999999998</v>
      </c>
      <c r="H54" s="54">
        <v>478634.46085733298</v>
      </c>
      <c r="I54" s="54">
        <v>471151.53600000101</v>
      </c>
      <c r="J54" s="54">
        <v>478882.01899999997</v>
      </c>
      <c r="K54" s="54">
        <v>488061.174999999</v>
      </c>
      <c r="L54" s="54">
        <v>549580.73899999994</v>
      </c>
      <c r="M54" s="54">
        <v>518336.56199999998</v>
      </c>
      <c r="N54" s="54">
        <v>252086.8</v>
      </c>
      <c r="O54" s="54">
        <v>488150.35700000002</v>
      </c>
      <c r="P54" s="54">
        <v>369897.82299999997</v>
      </c>
      <c r="Q54" s="54">
        <v>208089.27600000001</v>
      </c>
      <c r="R54" s="55">
        <v>114042.65</v>
      </c>
    </row>
    <row r="55" spans="1:18" ht="15" thickBot="1" x14ac:dyDescent="0.35">
      <c r="A55" s="141">
        <v>2</v>
      </c>
      <c r="B55" s="17" t="s">
        <v>76</v>
      </c>
      <c r="C55" s="20"/>
      <c r="D55" s="17"/>
      <c r="E55" s="120"/>
      <c r="F55" s="121">
        <f t="shared" ref="F55" si="65">SUM(G55:R55)</f>
        <v>2653575.4210000006</v>
      </c>
      <c r="G55" s="122">
        <v>404060.10100000002</v>
      </c>
      <c r="H55" s="122">
        <v>364422.00900000002</v>
      </c>
      <c r="I55" s="122">
        <v>250654.16099999999</v>
      </c>
      <c r="J55" s="122">
        <v>288293.93400000001</v>
      </c>
      <c r="K55" s="122">
        <v>178294.29800000001</v>
      </c>
      <c r="L55" s="122">
        <v>264146.48</v>
      </c>
      <c r="M55" s="122">
        <v>387386.21100000001</v>
      </c>
      <c r="N55" s="122">
        <v>38003.65</v>
      </c>
      <c r="O55" s="122">
        <v>234045.57199999999</v>
      </c>
      <c r="P55" s="122">
        <v>106213.685</v>
      </c>
      <c r="Q55" s="122">
        <v>101606.18</v>
      </c>
      <c r="R55" s="123">
        <v>36449.14</v>
      </c>
    </row>
    <row r="56" spans="1:18" ht="15" thickBot="1" x14ac:dyDescent="0.35">
      <c r="A56" s="144">
        <v>1</v>
      </c>
      <c r="B56" s="39" t="s">
        <v>4</v>
      </c>
      <c r="C56" s="37"/>
      <c r="D56" s="38"/>
      <c r="E56" s="124"/>
      <c r="F56" s="125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</row>
    <row r="57" spans="1:18" x14ac:dyDescent="0.3">
      <c r="A57" s="145">
        <v>3</v>
      </c>
      <c r="B57" s="40" t="s">
        <v>62</v>
      </c>
      <c r="C57" s="42"/>
      <c r="D57" s="18"/>
      <c r="E57" s="126"/>
      <c r="F57" s="127"/>
      <c r="G57" s="128">
        <v>1</v>
      </c>
      <c r="H57" s="129">
        <v>2</v>
      </c>
      <c r="I57" s="129"/>
      <c r="J57" s="129"/>
      <c r="K57" s="129"/>
      <c r="L57" s="129"/>
      <c r="M57" s="129"/>
      <c r="N57" s="129"/>
      <c r="O57" s="129"/>
      <c r="P57" s="129"/>
      <c r="Q57" s="129"/>
      <c r="R57" s="130"/>
    </row>
    <row r="58" spans="1:18" x14ac:dyDescent="0.3">
      <c r="A58" s="141">
        <v>3</v>
      </c>
      <c r="B58" s="33" t="s">
        <v>63</v>
      </c>
      <c r="C58" s="43"/>
      <c r="D58" s="7"/>
      <c r="E58" s="111"/>
      <c r="F58" s="114"/>
      <c r="G58" s="62">
        <v>2</v>
      </c>
      <c r="H58" s="63">
        <v>3</v>
      </c>
      <c r="I58" s="63"/>
      <c r="J58" s="63"/>
      <c r="K58" s="63"/>
      <c r="L58" s="63"/>
      <c r="M58" s="63"/>
      <c r="N58" s="63"/>
      <c r="O58" s="63"/>
      <c r="P58" s="63"/>
      <c r="Q58" s="63"/>
      <c r="R58" s="64"/>
    </row>
    <row r="59" spans="1:18" x14ac:dyDescent="0.3">
      <c r="A59" s="141">
        <v>3</v>
      </c>
      <c r="B59" s="33" t="s">
        <v>61</v>
      </c>
      <c r="C59" s="43"/>
      <c r="D59" s="7"/>
      <c r="E59" s="111"/>
      <c r="F59" s="114"/>
      <c r="G59" s="62">
        <v>3</v>
      </c>
      <c r="H59" s="63">
        <v>5</v>
      </c>
      <c r="I59" s="63"/>
      <c r="J59" s="63"/>
      <c r="K59" s="63"/>
      <c r="L59" s="63"/>
      <c r="M59" s="63"/>
      <c r="N59" s="63"/>
      <c r="O59" s="63"/>
      <c r="P59" s="63"/>
      <c r="Q59" s="63"/>
      <c r="R59" s="64"/>
    </row>
    <row r="60" spans="1:18" x14ac:dyDescent="0.3">
      <c r="A60" s="141">
        <v>3</v>
      </c>
      <c r="B60" s="33" t="s">
        <v>64</v>
      </c>
      <c r="C60" s="43"/>
      <c r="D60" s="7"/>
      <c r="E60" s="111"/>
      <c r="F60" s="114"/>
      <c r="G60" s="62">
        <v>4</v>
      </c>
      <c r="H60" s="63">
        <v>4</v>
      </c>
      <c r="I60" s="63"/>
      <c r="J60" s="63"/>
      <c r="K60" s="63"/>
      <c r="L60" s="63"/>
      <c r="M60" s="63"/>
      <c r="N60" s="63"/>
      <c r="O60" s="63"/>
      <c r="P60" s="63"/>
      <c r="Q60" s="63"/>
      <c r="R60" s="64"/>
    </row>
    <row r="61" spans="1:18" x14ac:dyDescent="0.3">
      <c r="A61" s="141">
        <v>3</v>
      </c>
      <c r="B61" s="33" t="s">
        <v>65</v>
      </c>
      <c r="C61" s="43"/>
      <c r="D61" s="7"/>
      <c r="E61" s="111"/>
      <c r="F61" s="114"/>
      <c r="G61" s="62">
        <v>5</v>
      </c>
      <c r="H61" s="63">
        <v>8</v>
      </c>
      <c r="I61" s="63"/>
      <c r="J61" s="63"/>
      <c r="K61" s="63"/>
      <c r="L61" s="63"/>
      <c r="M61" s="63"/>
      <c r="N61" s="63"/>
      <c r="O61" s="63"/>
      <c r="P61" s="63"/>
      <c r="Q61" s="63"/>
      <c r="R61" s="64"/>
    </row>
    <row r="62" spans="1:18" x14ac:dyDescent="0.3">
      <c r="A62" s="141">
        <v>3</v>
      </c>
      <c r="B62" s="33" t="s">
        <v>67</v>
      </c>
      <c r="C62" s="43"/>
      <c r="D62" s="7"/>
      <c r="E62" s="111"/>
      <c r="F62" s="114"/>
      <c r="G62" s="62">
        <v>6</v>
      </c>
      <c r="H62" s="63">
        <v>40</v>
      </c>
      <c r="I62" s="63"/>
      <c r="J62" s="63"/>
      <c r="K62" s="63"/>
      <c r="L62" s="63"/>
      <c r="M62" s="63"/>
      <c r="N62" s="63"/>
      <c r="O62" s="63"/>
      <c r="P62" s="63"/>
      <c r="Q62" s="63"/>
      <c r="R62" s="64"/>
    </row>
    <row r="63" spans="1:18" x14ac:dyDescent="0.3">
      <c r="A63" s="141">
        <v>3</v>
      </c>
      <c r="B63" s="33" t="s">
        <v>69</v>
      </c>
      <c r="C63" s="43"/>
      <c r="D63" s="7"/>
      <c r="E63" s="111"/>
      <c r="F63" s="114"/>
      <c r="G63" s="62">
        <v>7</v>
      </c>
      <c r="H63" s="63">
        <v>1</v>
      </c>
      <c r="I63" s="63"/>
      <c r="J63" s="63"/>
      <c r="K63" s="63"/>
      <c r="L63" s="63"/>
      <c r="M63" s="63"/>
      <c r="N63" s="63"/>
      <c r="O63" s="63"/>
      <c r="P63" s="63"/>
      <c r="Q63" s="63"/>
      <c r="R63" s="64"/>
    </row>
    <row r="64" spans="1:18" ht="15" thickBot="1" x14ac:dyDescent="0.35">
      <c r="A64" s="146">
        <v>3</v>
      </c>
      <c r="B64" s="41" t="s">
        <v>66</v>
      </c>
      <c r="C64" s="44"/>
      <c r="D64" s="17"/>
      <c r="E64" s="131"/>
      <c r="F64" s="132"/>
      <c r="G64" s="76">
        <v>8</v>
      </c>
      <c r="H64" s="77">
        <v>0</v>
      </c>
      <c r="I64" s="77"/>
      <c r="J64" s="77"/>
      <c r="K64" s="77"/>
      <c r="L64" s="77"/>
      <c r="M64" s="77"/>
      <c r="N64" s="77"/>
      <c r="O64" s="77"/>
      <c r="P64" s="77"/>
      <c r="Q64" s="77"/>
      <c r="R64" s="78"/>
    </row>
    <row r="65" spans="1:18" ht="15" thickBot="1" x14ac:dyDescent="0.35">
      <c r="A65" s="141">
        <v>3</v>
      </c>
      <c r="B65" s="138" t="s">
        <v>13</v>
      </c>
      <c r="D65" s="2" t="s">
        <v>22</v>
      </c>
    </row>
    <row r="66" spans="1:18" ht="15" thickBot="1" x14ac:dyDescent="0.35">
      <c r="A66" s="141">
        <v>2</v>
      </c>
      <c r="B66" s="139" t="s">
        <v>78</v>
      </c>
      <c r="D66" s="5"/>
      <c r="E66" s="71">
        <v>0.8</v>
      </c>
      <c r="F66" s="72"/>
      <c r="G66" s="147">
        <v>0.56055900621118004</v>
      </c>
      <c r="H66" s="148">
        <v>0.6530014641288433</v>
      </c>
      <c r="I66" s="148">
        <v>0.7120418848167539</v>
      </c>
      <c r="J66" s="148">
        <v>0.61426256077795793</v>
      </c>
      <c r="K66" s="148">
        <v>0.63440860215053763</v>
      </c>
      <c r="L66" s="148">
        <v>0.71636952998379255</v>
      </c>
      <c r="M66" s="148">
        <v>0.73544973544973546</v>
      </c>
      <c r="N66" s="148">
        <v>0.62222222222222223</v>
      </c>
      <c r="O66" s="148">
        <v>0.73145780051150888</v>
      </c>
      <c r="P66" s="148">
        <v>0.7567567567567568</v>
      </c>
      <c r="Q66" s="148">
        <v>0.64806866952789699</v>
      </c>
      <c r="R66" s="149">
        <v>0.71518987341772156</v>
      </c>
    </row>
    <row r="67" spans="1:18" x14ac:dyDescent="0.3">
      <c r="A67" s="140">
        <v>1</v>
      </c>
      <c r="B67" s="11" t="s">
        <v>14</v>
      </c>
      <c r="C67" s="20"/>
      <c r="E67" s="71">
        <v>0.95</v>
      </c>
      <c r="F67" s="72">
        <f>IFERROR(1-(F69)/F68,0)</f>
        <v>0.67103448275862076</v>
      </c>
      <c r="G67" s="73">
        <f t="shared" ref="G67:R67" si="66">IFERROR(1-(G69)/G68,0)</f>
        <v>0.56055900621118004</v>
      </c>
      <c r="H67" s="74">
        <f t="shared" si="66"/>
        <v>0.6530014641288433</v>
      </c>
      <c r="I67" s="74">
        <f t="shared" si="66"/>
        <v>0.7120418848167539</v>
      </c>
      <c r="J67" s="74">
        <f t="shared" si="66"/>
        <v>0.61426256077795793</v>
      </c>
      <c r="K67" s="74">
        <f t="shared" si="66"/>
        <v>0.63440860215053763</v>
      </c>
      <c r="L67" s="74">
        <f t="shared" si="66"/>
        <v>0.71636952998379255</v>
      </c>
      <c r="M67" s="74">
        <f t="shared" si="66"/>
        <v>0.73544973544973546</v>
      </c>
      <c r="N67" s="74">
        <f t="shared" si="66"/>
        <v>0.62222222222222223</v>
      </c>
      <c r="O67" s="74">
        <f t="shared" si="66"/>
        <v>0.73145780051150888</v>
      </c>
      <c r="P67" s="74">
        <f t="shared" si="66"/>
        <v>0.7567567567567568</v>
      </c>
      <c r="Q67" s="74">
        <f t="shared" si="66"/>
        <v>0.64806866952789699</v>
      </c>
      <c r="R67" s="72">
        <f t="shared" si="66"/>
        <v>0.71518987341772156</v>
      </c>
    </row>
    <row r="68" spans="1:18" x14ac:dyDescent="0.3">
      <c r="A68" s="141">
        <v>2</v>
      </c>
      <c r="B68" s="12" t="s">
        <v>83</v>
      </c>
      <c r="C68" s="23"/>
      <c r="E68" s="79"/>
      <c r="F68" s="61">
        <f>SUM(G68:R68)</f>
        <v>5800</v>
      </c>
      <c r="G68" s="62">
        <v>644</v>
      </c>
      <c r="H68" s="63">
        <v>683</v>
      </c>
      <c r="I68" s="63">
        <v>764</v>
      </c>
      <c r="J68" s="63">
        <v>617</v>
      </c>
      <c r="K68" s="63">
        <v>744</v>
      </c>
      <c r="L68" s="63">
        <v>617</v>
      </c>
      <c r="M68" s="63">
        <v>378</v>
      </c>
      <c r="N68" s="63">
        <v>90</v>
      </c>
      <c r="O68" s="63">
        <v>391</v>
      </c>
      <c r="P68" s="63">
        <v>481</v>
      </c>
      <c r="Q68" s="63">
        <v>233</v>
      </c>
      <c r="R68" s="64">
        <v>158</v>
      </c>
    </row>
    <row r="69" spans="1:18" ht="15" thickBot="1" x14ac:dyDescent="0.35">
      <c r="A69" s="141">
        <v>2</v>
      </c>
      <c r="B69" s="13" t="s">
        <v>82</v>
      </c>
      <c r="E69" s="80"/>
      <c r="F69" s="75">
        <f>SUM(G69:R69)</f>
        <v>1908</v>
      </c>
      <c r="G69" s="76">
        <v>283</v>
      </c>
      <c r="H69" s="77">
        <v>237</v>
      </c>
      <c r="I69" s="77">
        <v>220</v>
      </c>
      <c r="J69" s="77">
        <v>238</v>
      </c>
      <c r="K69" s="77">
        <v>272</v>
      </c>
      <c r="L69" s="77">
        <v>175</v>
      </c>
      <c r="M69" s="77">
        <v>100</v>
      </c>
      <c r="N69" s="77">
        <v>34</v>
      </c>
      <c r="O69" s="77">
        <v>105</v>
      </c>
      <c r="P69" s="77">
        <v>117</v>
      </c>
      <c r="Q69" s="77">
        <v>82</v>
      </c>
      <c r="R69" s="78">
        <v>45</v>
      </c>
    </row>
  </sheetData>
  <conditionalFormatting sqref="A1:A1048576">
    <cfRule type="cellIs" dxfId="19" priority="7" operator="equal">
      <formula>4</formula>
    </cfRule>
    <cfRule type="cellIs" dxfId="18" priority="8" operator="equal">
      <formula>3</formula>
    </cfRule>
    <cfRule type="cellIs" dxfId="17" priority="9" operator="equal">
      <formula>2</formula>
    </cfRule>
    <cfRule type="cellIs" dxfId="16" priority="10" operator="equal">
      <formula>1</formula>
    </cfRule>
  </conditionalFormatting>
  <conditionalFormatting sqref="F8:R8">
    <cfRule type="cellIs" dxfId="15" priority="35" operator="lessThan">
      <formula>$E8</formula>
    </cfRule>
    <cfRule type="cellIs" dxfId="14" priority="36" operator="greaterThanOrEqual">
      <formula>$E8</formula>
    </cfRule>
  </conditionalFormatting>
  <conditionalFormatting sqref="F13:R13 F16:R16 F21:R21">
    <cfRule type="cellIs" dxfId="13" priority="37" operator="lessThan">
      <formula>$E13</formula>
    </cfRule>
    <cfRule type="cellIs" dxfId="12" priority="38" operator="greaterThanOrEqual">
      <formula>$E13</formula>
    </cfRule>
  </conditionalFormatting>
  <conditionalFormatting sqref="F28:R28">
    <cfRule type="cellIs" dxfId="11" priority="33" operator="lessThan">
      <formula>$E28</formula>
    </cfRule>
    <cfRule type="cellIs" dxfId="10" priority="34" operator="greaterThanOrEqual">
      <formula>$E28</formula>
    </cfRule>
  </conditionalFormatting>
  <conditionalFormatting sqref="F32:R32">
    <cfRule type="cellIs" dxfId="9" priority="15" operator="greaterThan">
      <formula>$E32</formula>
    </cfRule>
    <cfRule type="cellIs" dxfId="8" priority="16" operator="lessThanOrEqual">
      <formula>$E32</formula>
    </cfRule>
  </conditionalFormatting>
  <conditionalFormatting sqref="F35:R35">
    <cfRule type="cellIs" dxfId="7" priority="13" operator="greaterThan">
      <formula>$E35</formula>
    </cfRule>
    <cfRule type="cellIs" dxfId="6" priority="14" operator="lessThanOrEqual">
      <formula>$E35</formula>
    </cfRule>
  </conditionalFormatting>
  <conditionalFormatting sqref="F38:R38">
    <cfRule type="cellIs" dxfId="5" priority="23" operator="greaterThan">
      <formula>$E38</formula>
    </cfRule>
    <cfRule type="cellIs" dxfId="4" priority="24" operator="lessThanOrEqual">
      <formula>$E38</formula>
    </cfRule>
  </conditionalFormatting>
  <conditionalFormatting sqref="F49:R49">
    <cfRule type="cellIs" dxfId="3" priority="11" operator="greaterThan">
      <formula>$E49</formula>
    </cfRule>
    <cfRule type="cellIs" dxfId="2" priority="12" operator="lessThanOrEqual">
      <formula>$E49</formula>
    </cfRule>
  </conditionalFormatting>
  <conditionalFormatting sqref="F66:R67">
    <cfRule type="cellIs" dxfId="1" priority="1" operator="lessThan">
      <formula>$E66</formula>
    </cfRule>
    <cfRule type="cellIs" dxfId="0" priority="2" operator="greaterThanOrEqual">
      <formula>$E66</formula>
    </cfRule>
  </conditionalFormatting>
  <pageMargins left="0.7" right="0.7" top="0.75" bottom="0.75" header="0.3" footer="0.3"/>
  <pageSetup orientation="landscape" r:id="rId1"/>
  <ignoredErrors>
    <ignoredError sqref="F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SC Performance Metrics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Bails Matthieu</dc:creator>
  <cp:lastModifiedBy>Thierry JOUENNE</cp:lastModifiedBy>
  <dcterms:created xsi:type="dcterms:W3CDTF">2015-06-05T18:19:34Z</dcterms:created>
  <dcterms:modified xsi:type="dcterms:W3CDTF">2023-06-15T17:17:29Z</dcterms:modified>
</cp:coreProperties>
</file>